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" sheetId="1" r:id="rId1"/>
    <sheet name="4" sheetId="2" r:id="rId2"/>
    <sheet name="5" sheetId="3" r:id="rId3"/>
    <sheet name="Лист1" sheetId="4" r:id="rId4"/>
  </sheets>
  <definedNames>
    <definedName name="_xlnm.Print_Area" localSheetId="1">'4'!$A$1:$AD$184</definedName>
    <definedName name="_xlnm.Print_Area" localSheetId="2">'5'!$A$1:$AP$184</definedName>
  </definedNames>
  <calcPr calcId="144525"/>
</workbook>
</file>

<file path=xl/calcChain.xml><?xml version="1.0" encoding="utf-8"?>
<calcChain xmlns="http://schemas.openxmlformats.org/spreadsheetml/2006/main">
  <c r="L24" i="4"/>
  <c r="L23"/>
  <c r="L22"/>
  <c r="L21"/>
  <c r="L20"/>
  <c r="AI136" i="3" l="1"/>
  <c r="AI152"/>
  <c r="AI158"/>
  <c r="AI167"/>
  <c r="M23" i="4"/>
  <c r="K19"/>
  <c r="L19" s="1"/>
  <c r="K18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K7"/>
  <c r="K6"/>
  <c r="K5"/>
  <c r="L5" s="1"/>
  <c r="K4"/>
  <c r="L4" s="1"/>
  <c r="K3"/>
  <c r="L3" s="1"/>
  <c r="K2"/>
  <c r="L2" s="1"/>
  <c r="K25" l="1"/>
  <c r="L18"/>
  <c r="AB90" i="2"/>
  <c r="F90"/>
  <c r="Z7" i="3" l="1"/>
  <c r="AM11"/>
  <c r="X11"/>
  <c r="AM7"/>
  <c r="X7"/>
  <c r="F95" i="1" l="1"/>
  <c r="E95"/>
  <c r="H95"/>
  <c r="I95"/>
  <c r="K190" l="1"/>
  <c r="K202"/>
  <c r="K208"/>
  <c r="K198"/>
  <c r="K195"/>
  <c r="K197"/>
  <c r="K196"/>
  <c r="K95"/>
  <c r="K98"/>
  <c r="K52"/>
  <c r="K48"/>
  <c r="H7"/>
  <c r="F13" i="2"/>
  <c r="AB13"/>
  <c r="Q13"/>
  <c r="AB112"/>
  <c r="Q112"/>
  <c r="F9"/>
  <c r="AB9"/>
  <c r="Q9"/>
  <c r="AB113"/>
  <c r="Q113"/>
  <c r="AB14"/>
  <c r="Q14"/>
  <c r="AB10"/>
  <c r="Q10"/>
  <c r="Q157"/>
  <c r="Q83"/>
  <c r="Q75"/>
  <c r="AB68"/>
  <c r="Q68"/>
  <c r="AB61"/>
  <c r="Q61"/>
  <c r="Q49"/>
  <c r="AB54"/>
  <c r="Q54"/>
  <c r="Q52"/>
  <c r="Q20"/>
  <c r="Q24"/>
  <c r="Q31"/>
  <c r="Q30"/>
  <c r="AB19"/>
  <c r="Q19"/>
  <c r="AB32"/>
  <c r="Q32"/>
  <c r="AB16"/>
  <c r="Q16"/>
  <c r="F24" l="1"/>
  <c r="F27"/>
  <c r="F75" l="1"/>
  <c r="F68"/>
  <c r="F61"/>
  <c r="F55"/>
  <c r="F52"/>
  <c r="F49"/>
  <c r="F16"/>
  <c r="F56" l="1"/>
  <c r="F69" l="1"/>
  <c r="F76"/>
  <c r="F88"/>
  <c r="F157" l="1"/>
  <c r="Q78" l="1"/>
  <c r="F78"/>
  <c r="AJ4" i="3" l="1"/>
  <c r="AJ136"/>
  <c r="AJ158"/>
  <c r="V158"/>
  <c r="V152" s="1"/>
  <c r="V145"/>
  <c r="AK145"/>
  <c r="V139"/>
  <c r="AX139" s="1"/>
  <c r="V161"/>
  <c r="AK161"/>
  <c r="K167" i="1" l="1"/>
  <c r="K127"/>
  <c r="K120"/>
  <c r="K213"/>
  <c r="K110"/>
  <c r="K122"/>
  <c r="K104"/>
  <c r="K50"/>
  <c r="I35"/>
  <c r="E225" l="1"/>
  <c r="P183" i="2" l="1"/>
  <c r="AB123" l="1"/>
  <c r="Q123"/>
  <c r="AB56"/>
  <c r="Q56"/>
  <c r="AB55"/>
  <c r="Q55"/>
  <c r="F171" l="1"/>
  <c r="F170"/>
  <c r="F158"/>
  <c r="F155"/>
  <c r="F60"/>
  <c r="F59"/>
  <c r="F53"/>
  <c r="F46"/>
  <c r="F44"/>
  <c r="F43"/>
  <c r="F42"/>
  <c r="F83" l="1"/>
  <c r="J7" i="3" l="1"/>
  <c r="U158" l="1"/>
  <c r="U136"/>
  <c r="U4"/>
  <c r="T167"/>
  <c r="K165" i="1" l="1"/>
  <c r="K119"/>
  <c r="K99"/>
  <c r="AB78" i="2"/>
  <c r="Q122" l="1"/>
  <c r="Q121"/>
  <c r="AB122"/>
  <c r="AB121"/>
  <c r="F123" l="1"/>
  <c r="F122" l="1"/>
  <c r="F121"/>
  <c r="F154" i="3" l="1"/>
  <c r="F174" i="2"/>
  <c r="Q174"/>
  <c r="Q175"/>
  <c r="AB175"/>
  <c r="AB174"/>
  <c r="F175"/>
  <c r="Q76" l="1"/>
  <c r="Q60"/>
  <c r="AK33" i="3" l="1"/>
  <c r="AK13" s="1"/>
  <c r="AK39"/>
  <c r="AI7"/>
  <c r="AI73"/>
  <c r="E161"/>
  <c r="E154"/>
  <c r="K200" i="1" l="1"/>
  <c r="K58"/>
  <c r="K100"/>
  <c r="H8"/>
  <c r="AB60" i="2" l="1"/>
  <c r="AB59"/>
  <c r="Q59"/>
  <c r="V179" i="3" l="1"/>
  <c r="V171"/>
  <c r="V142"/>
  <c r="V137"/>
  <c r="V128"/>
  <c r="V117"/>
  <c r="V116"/>
  <c r="V109"/>
  <c r="V104"/>
  <c r="V103" s="1"/>
  <c r="V97"/>
  <c r="V92" s="1"/>
  <c r="V87"/>
  <c r="V64"/>
  <c r="V39"/>
  <c r="V33" s="1"/>
  <c r="V34"/>
  <c r="V16"/>
  <c r="V10"/>
  <c r="V6"/>
  <c r="V5" s="1"/>
  <c r="G34"/>
  <c r="T152" l="1"/>
  <c r="T158"/>
  <c r="V13"/>
  <c r="V136"/>
  <c r="T136" s="1"/>
  <c r="AK142"/>
  <c r="G142"/>
  <c r="V4" l="1"/>
  <c r="AK17" l="1"/>
  <c r="AK35"/>
  <c r="AK37"/>
  <c r="AK140"/>
  <c r="AK156"/>
  <c r="AK154" l="1"/>
  <c r="AK167"/>
  <c r="AK73" l="1"/>
  <c r="AK86"/>
  <c r="AK12" l="1"/>
  <c r="AK8" l="1"/>
  <c r="AK7"/>
  <c r="F158" l="1"/>
  <c r="E167"/>
  <c r="E23" i="4" l="1"/>
  <c r="E4"/>
  <c r="U167" i="3" l="1"/>
  <c r="AK157" l="1"/>
  <c r="AK153"/>
  <c r="AK66"/>
  <c r="K106" i="1" l="1"/>
  <c r="K125"/>
  <c r="K97"/>
  <c r="AB76" i="2" l="1"/>
  <c r="F152" i="3" l="1"/>
  <c r="F136" l="1"/>
  <c r="AJ152"/>
  <c r="U152"/>
  <c r="F4" l="1"/>
  <c r="W34"/>
  <c r="H127" i="1" l="1"/>
  <c r="H200" l="1"/>
  <c r="C23" i="4" l="1"/>
  <c r="C13"/>
  <c r="AB170" i="2" l="1"/>
  <c r="Q170"/>
  <c r="AB27"/>
  <c r="Q27"/>
  <c r="F73" l="1"/>
  <c r="AB43" l="1"/>
  <c r="Q43"/>
  <c r="L185" i="1" l="1"/>
  <c r="K49" l="1"/>
  <c r="AB158" i="2" l="1"/>
  <c r="AB53"/>
  <c r="Q53"/>
  <c r="H34" i="3" l="1"/>
  <c r="F45" i="2" l="1"/>
  <c r="Q158" l="1"/>
  <c r="Q73"/>
  <c r="Q77"/>
  <c r="L95" i="1"/>
  <c r="L202"/>
  <c r="L195"/>
  <c r="F169" i="2" l="1"/>
  <c r="L197" i="1" l="1"/>
  <c r="F77" i="2" l="1"/>
  <c r="L169" i="1" l="1"/>
  <c r="K169"/>
  <c r="I169"/>
  <c r="H169"/>
  <c r="F169"/>
  <c r="E169"/>
  <c r="AB130" i="2" l="1"/>
  <c r="Q130"/>
  <c r="F130"/>
  <c r="E47" i="1" l="1"/>
  <c r="D14"/>
  <c r="AI34" i="3"/>
  <c r="AI35"/>
  <c r="AI36"/>
  <c r="AI37"/>
  <c r="AI38"/>
  <c r="AI40"/>
  <c r="T34"/>
  <c r="T35"/>
  <c r="T36"/>
  <c r="T37"/>
  <c r="T38"/>
  <c r="T40"/>
  <c r="H39"/>
  <c r="H33" s="1"/>
  <c r="I39"/>
  <c r="I33" s="1"/>
  <c r="J39"/>
  <c r="J33" s="1"/>
  <c r="K39"/>
  <c r="K33" s="1"/>
  <c r="L39"/>
  <c r="L33" s="1"/>
  <c r="M39"/>
  <c r="M33" s="1"/>
  <c r="N39"/>
  <c r="N33" s="1"/>
  <c r="O39"/>
  <c r="O33" s="1"/>
  <c r="P39"/>
  <c r="P33" s="1"/>
  <c r="Q39"/>
  <c r="Q33" s="1"/>
  <c r="R39"/>
  <c r="R33" s="1"/>
  <c r="S39"/>
  <c r="S33" s="1"/>
  <c r="W39"/>
  <c r="W33" s="1"/>
  <c r="X39"/>
  <c r="X33" s="1"/>
  <c r="Y39"/>
  <c r="Y33" s="1"/>
  <c r="Z39"/>
  <c r="Z33" s="1"/>
  <c r="AA39"/>
  <c r="AA33" s="1"/>
  <c r="AB39"/>
  <c r="AB33" s="1"/>
  <c r="AC39"/>
  <c r="AC33" s="1"/>
  <c r="AD39"/>
  <c r="AD33" s="1"/>
  <c r="AE39"/>
  <c r="AE33" s="1"/>
  <c r="AF39"/>
  <c r="AF33" s="1"/>
  <c r="AG39"/>
  <c r="AG33" s="1"/>
  <c r="AH39"/>
  <c r="AH33" s="1"/>
  <c r="AL39"/>
  <c r="AL33" s="1"/>
  <c r="AM39"/>
  <c r="AM33" s="1"/>
  <c r="AN39"/>
  <c r="AN33" s="1"/>
  <c r="AO39"/>
  <c r="AO33" s="1"/>
  <c r="AP39"/>
  <c r="AP33" s="1"/>
  <c r="AQ39"/>
  <c r="AQ33" s="1"/>
  <c r="AR39"/>
  <c r="AR33" s="1"/>
  <c r="AS39"/>
  <c r="AS33" s="1"/>
  <c r="AT39"/>
  <c r="AT33" s="1"/>
  <c r="AU39"/>
  <c r="AU33" s="1"/>
  <c r="AV39"/>
  <c r="AV33" s="1"/>
  <c r="AW39"/>
  <c r="AW33" s="1"/>
  <c r="G39"/>
  <c r="G33" s="1"/>
  <c r="AA36" i="2"/>
  <c r="AA37"/>
  <c r="AA38"/>
  <c r="AA39"/>
  <c r="AA40"/>
  <c r="AA42"/>
  <c r="AA43"/>
  <c r="AA44"/>
  <c r="P36"/>
  <c r="P37"/>
  <c r="P38"/>
  <c r="P39"/>
  <c r="P40"/>
  <c r="P42"/>
  <c r="P43"/>
  <c r="G41"/>
  <c r="G35" s="1"/>
  <c r="H41"/>
  <c r="H35" s="1"/>
  <c r="I41"/>
  <c r="I35" s="1"/>
  <c r="J41"/>
  <c r="J35" s="1"/>
  <c r="K41"/>
  <c r="K35" s="1"/>
  <c r="L41"/>
  <c r="L35" s="1"/>
  <c r="M41"/>
  <c r="M35" s="1"/>
  <c r="N41"/>
  <c r="N35" s="1"/>
  <c r="O41"/>
  <c r="O35" s="1"/>
  <c r="Q41"/>
  <c r="R41"/>
  <c r="R35" s="1"/>
  <c r="S41"/>
  <c r="S35" s="1"/>
  <c r="T41"/>
  <c r="T35" s="1"/>
  <c r="U41"/>
  <c r="U35" s="1"/>
  <c r="V41"/>
  <c r="V35" s="1"/>
  <c r="W41"/>
  <c r="W35" s="1"/>
  <c r="X41"/>
  <c r="X35" s="1"/>
  <c r="Y41"/>
  <c r="Y35" s="1"/>
  <c r="Z41"/>
  <c r="Z35" s="1"/>
  <c r="AB41"/>
  <c r="AC41"/>
  <c r="AC35" s="1"/>
  <c r="AD41"/>
  <c r="AD35" s="1"/>
  <c r="AE41"/>
  <c r="AE35" s="1"/>
  <c r="AF41"/>
  <c r="AF35" s="1"/>
  <c r="AG41"/>
  <c r="AG35" s="1"/>
  <c r="AH41"/>
  <c r="AH35" s="1"/>
  <c r="AI41"/>
  <c r="AI35" s="1"/>
  <c r="AJ41"/>
  <c r="AJ35" s="1"/>
  <c r="AK41"/>
  <c r="AK35" s="1"/>
  <c r="F41"/>
  <c r="F35" s="1"/>
  <c r="G75" i="1"/>
  <c r="G76"/>
  <c r="G77"/>
  <c r="G78"/>
  <c r="G79"/>
  <c r="J75"/>
  <c r="J76"/>
  <c r="J77"/>
  <c r="J78"/>
  <c r="J79"/>
  <c r="F80"/>
  <c r="F74" s="1"/>
  <c r="H80"/>
  <c r="I80"/>
  <c r="K80"/>
  <c r="L80"/>
  <c r="L74" s="1"/>
  <c r="E80"/>
  <c r="E74" s="1"/>
  <c r="I74"/>
  <c r="K74"/>
  <c r="AA95" i="2"/>
  <c r="AA96"/>
  <c r="AA97"/>
  <c r="AA98"/>
  <c r="P95"/>
  <c r="P96"/>
  <c r="P97"/>
  <c r="P98"/>
  <c r="P100"/>
  <c r="AK99"/>
  <c r="AK94" s="1"/>
  <c r="G99"/>
  <c r="G94" s="1"/>
  <c r="H99"/>
  <c r="H94" s="1"/>
  <c r="I99"/>
  <c r="I94" s="1"/>
  <c r="J99"/>
  <c r="J94" s="1"/>
  <c r="K99"/>
  <c r="K94" s="1"/>
  <c r="L99"/>
  <c r="L94" s="1"/>
  <c r="M99"/>
  <c r="M94" s="1"/>
  <c r="N99"/>
  <c r="N94" s="1"/>
  <c r="O99"/>
  <c r="O94" s="1"/>
  <c r="Q99"/>
  <c r="Q94" s="1"/>
  <c r="R99"/>
  <c r="R94" s="1"/>
  <c r="S99"/>
  <c r="S94" s="1"/>
  <c r="T99"/>
  <c r="T94" s="1"/>
  <c r="U99"/>
  <c r="U94" s="1"/>
  <c r="V99"/>
  <c r="V94" s="1"/>
  <c r="W99"/>
  <c r="W94" s="1"/>
  <c r="X99"/>
  <c r="X94" s="1"/>
  <c r="Y99"/>
  <c r="Y94" s="1"/>
  <c r="Z99"/>
  <c r="Z94" s="1"/>
  <c r="AB99"/>
  <c r="AC99"/>
  <c r="AC94" s="1"/>
  <c r="AD99"/>
  <c r="AD94" s="1"/>
  <c r="AE99"/>
  <c r="AE94" s="1"/>
  <c r="AF99"/>
  <c r="AF94" s="1"/>
  <c r="AG99"/>
  <c r="AG94" s="1"/>
  <c r="AH99"/>
  <c r="AH94" s="1"/>
  <c r="AI99"/>
  <c r="AI94" s="1"/>
  <c r="AJ99"/>
  <c r="AJ94" s="1"/>
  <c r="F99"/>
  <c r="F94" s="1"/>
  <c r="AI93" i="3"/>
  <c r="AI94"/>
  <c r="AI95"/>
  <c r="AI96"/>
  <c r="T93"/>
  <c r="T94"/>
  <c r="T95"/>
  <c r="T96"/>
  <c r="H97"/>
  <c r="H92" s="1"/>
  <c r="I97"/>
  <c r="I92" s="1"/>
  <c r="J97"/>
  <c r="J92" s="1"/>
  <c r="K97"/>
  <c r="K92" s="1"/>
  <c r="L97"/>
  <c r="L92" s="1"/>
  <c r="M97"/>
  <c r="M92" s="1"/>
  <c r="N97"/>
  <c r="N92" s="1"/>
  <c r="O97"/>
  <c r="O92" s="1"/>
  <c r="P97"/>
  <c r="P92" s="1"/>
  <c r="Q97"/>
  <c r="Q92" s="1"/>
  <c r="R97"/>
  <c r="R92" s="1"/>
  <c r="S97"/>
  <c r="S92" s="1"/>
  <c r="W97"/>
  <c r="X97"/>
  <c r="X92" s="1"/>
  <c r="Y97"/>
  <c r="Y92" s="1"/>
  <c r="Z97"/>
  <c r="Z92" s="1"/>
  <c r="AA97"/>
  <c r="AA92" s="1"/>
  <c r="AB97"/>
  <c r="AB92" s="1"/>
  <c r="AC97"/>
  <c r="AC92" s="1"/>
  <c r="AD97"/>
  <c r="AD92" s="1"/>
  <c r="AE97"/>
  <c r="AE92" s="1"/>
  <c r="AF97"/>
  <c r="AF92" s="1"/>
  <c r="AG97"/>
  <c r="AG92" s="1"/>
  <c r="AH97"/>
  <c r="AH92" s="1"/>
  <c r="AK97"/>
  <c r="AL97"/>
  <c r="AL92" s="1"/>
  <c r="AM97"/>
  <c r="AM92" s="1"/>
  <c r="AN97"/>
  <c r="AN92" s="1"/>
  <c r="AO97"/>
  <c r="AO92" s="1"/>
  <c r="AP97"/>
  <c r="AP92" s="1"/>
  <c r="AQ97"/>
  <c r="AQ92" s="1"/>
  <c r="AR97"/>
  <c r="AR92" s="1"/>
  <c r="AS97"/>
  <c r="AS92" s="1"/>
  <c r="AT97"/>
  <c r="AT92" s="1"/>
  <c r="AU97"/>
  <c r="AU92" s="1"/>
  <c r="AV97"/>
  <c r="AV92" s="1"/>
  <c r="AW97"/>
  <c r="AW92" s="1"/>
  <c r="G97"/>
  <c r="G92" s="1"/>
  <c r="L138" i="1"/>
  <c r="L133" s="1"/>
  <c r="K138"/>
  <c r="K133" s="1"/>
  <c r="I138"/>
  <c r="I133" s="1"/>
  <c r="H138"/>
  <c r="H133" s="1"/>
  <c r="F138"/>
  <c r="F133" s="1"/>
  <c r="E138"/>
  <c r="E133" s="1"/>
  <c r="AI180" i="3"/>
  <c r="AW179"/>
  <c r="AV179"/>
  <c r="AU179"/>
  <c r="AT179"/>
  <c r="AS179"/>
  <c r="AR179"/>
  <c r="AQ179"/>
  <c r="AP179"/>
  <c r="AO179"/>
  <c r="AN179"/>
  <c r="AM179"/>
  <c r="AL179"/>
  <c r="AK179"/>
  <c r="AI178"/>
  <c r="AI177"/>
  <c r="AI176"/>
  <c r="AI175"/>
  <c r="AI174"/>
  <c r="AI173"/>
  <c r="AI172"/>
  <c r="AW171"/>
  <c r="AV171"/>
  <c r="AV152" s="1"/>
  <c r="AU171"/>
  <c r="AT171"/>
  <c r="AT152" s="1"/>
  <c r="AS171"/>
  <c r="AR171"/>
  <c r="AR152" s="1"/>
  <c r="AQ171"/>
  <c r="AP171"/>
  <c r="AP152" s="1"/>
  <c r="AO171"/>
  <c r="AN171"/>
  <c r="AN152" s="1"/>
  <c r="AM171"/>
  <c r="AL171"/>
  <c r="AL152" s="1"/>
  <c r="AK171"/>
  <c r="AI170"/>
  <c r="AI169"/>
  <c r="AI168"/>
  <c r="AI166"/>
  <c r="AI165"/>
  <c r="AI164"/>
  <c r="AI163"/>
  <c r="AI162"/>
  <c r="AI161"/>
  <c r="AI160"/>
  <c r="AI159"/>
  <c r="AW158"/>
  <c r="AV158"/>
  <c r="AU158"/>
  <c r="AU152" s="1"/>
  <c r="AT158"/>
  <c r="AS158"/>
  <c r="AR158"/>
  <c r="AQ158"/>
  <c r="AQ152" s="1"/>
  <c r="AP158"/>
  <c r="AO158"/>
  <c r="AN158"/>
  <c r="AM158"/>
  <c r="AM152" s="1"/>
  <c r="AL158"/>
  <c r="AK158"/>
  <c r="AI157"/>
  <c r="AI156"/>
  <c r="AI155"/>
  <c r="AI154"/>
  <c r="AI153"/>
  <c r="AW152"/>
  <c r="AS152"/>
  <c r="AO152"/>
  <c r="AI151"/>
  <c r="AI150"/>
  <c r="AI149"/>
  <c r="AI148"/>
  <c r="AI147"/>
  <c r="AI146"/>
  <c r="AI145"/>
  <c r="AI144"/>
  <c r="AI143"/>
  <c r="AI142"/>
  <c r="AI141"/>
  <c r="AI140"/>
  <c r="AI139"/>
  <c r="AI138"/>
  <c r="AW137"/>
  <c r="AW136" s="1"/>
  <c r="AV137"/>
  <c r="AV136" s="1"/>
  <c r="AU137"/>
  <c r="AT137"/>
  <c r="AT136" s="1"/>
  <c r="AS137"/>
  <c r="AR137"/>
  <c r="AR136" s="1"/>
  <c r="AQ137"/>
  <c r="AP137"/>
  <c r="AP136" s="1"/>
  <c r="AO137"/>
  <c r="AN137"/>
  <c r="AN136" s="1"/>
  <c r="AM137"/>
  <c r="AL137"/>
  <c r="AL136" s="1"/>
  <c r="AK137"/>
  <c r="AX137" s="1"/>
  <c r="AI135"/>
  <c r="AI134"/>
  <c r="AI133"/>
  <c r="AI132"/>
  <c r="AI131"/>
  <c r="AI130"/>
  <c r="AI129"/>
  <c r="AW128"/>
  <c r="AV128"/>
  <c r="AU128"/>
  <c r="AU116" s="1"/>
  <c r="AT128"/>
  <c r="AS128"/>
  <c r="AS116" s="1"/>
  <c r="AR128"/>
  <c r="AQ128"/>
  <c r="AP128"/>
  <c r="AO128"/>
  <c r="AO116" s="1"/>
  <c r="AN128"/>
  <c r="AM128"/>
  <c r="AM116" s="1"/>
  <c r="AL128"/>
  <c r="AK128"/>
  <c r="AI128" s="1"/>
  <c r="AI127"/>
  <c r="AI126"/>
  <c r="AI125"/>
  <c r="AI124"/>
  <c r="AI123"/>
  <c r="AI122"/>
  <c r="AI121"/>
  <c r="AI120"/>
  <c r="AI119"/>
  <c r="AI118"/>
  <c r="AW117"/>
  <c r="AV117"/>
  <c r="AU117"/>
  <c r="AT117"/>
  <c r="AT116" s="1"/>
  <c r="AS117"/>
  <c r="AR117"/>
  <c r="AR116" s="1"/>
  <c r="AQ117"/>
  <c r="AP117"/>
  <c r="AO117"/>
  <c r="AN117"/>
  <c r="AN116" s="1"/>
  <c r="AM117"/>
  <c r="AL117"/>
  <c r="AL116" s="1"/>
  <c r="AK117"/>
  <c r="AV116"/>
  <c r="AP116"/>
  <c r="AI115"/>
  <c r="AI114"/>
  <c r="AI113"/>
  <c r="AI112"/>
  <c r="AI111"/>
  <c r="AI110"/>
  <c r="AW109"/>
  <c r="AV109"/>
  <c r="AU109"/>
  <c r="AT109"/>
  <c r="AS109"/>
  <c r="AS103" s="1"/>
  <c r="AR109"/>
  <c r="AQ109"/>
  <c r="AP109"/>
  <c r="AO109"/>
  <c r="AN109"/>
  <c r="AM109"/>
  <c r="AM103" s="1"/>
  <c r="AL109"/>
  <c r="AK109"/>
  <c r="AI109" s="1"/>
  <c r="AI108"/>
  <c r="AI107"/>
  <c r="AI106"/>
  <c r="AI105"/>
  <c r="AW104"/>
  <c r="AV104"/>
  <c r="AV103" s="1"/>
  <c r="AU104"/>
  <c r="AT104"/>
  <c r="AT103" s="1"/>
  <c r="AS104"/>
  <c r="AR104"/>
  <c r="AR103" s="1"/>
  <c r="AQ104"/>
  <c r="AP104"/>
  <c r="AP103" s="1"/>
  <c r="AO104"/>
  <c r="AN104"/>
  <c r="AN103" s="1"/>
  <c r="AM104"/>
  <c r="AL104"/>
  <c r="AL103" s="1"/>
  <c r="AK104"/>
  <c r="AW103"/>
  <c r="AQ103"/>
  <c r="AK103"/>
  <c r="AI102"/>
  <c r="AI101"/>
  <c r="AI100"/>
  <c r="AI99"/>
  <c r="AI98"/>
  <c r="AI91"/>
  <c r="AI90"/>
  <c r="AI89"/>
  <c r="AI88"/>
  <c r="AW87"/>
  <c r="AV87"/>
  <c r="AU87"/>
  <c r="AT87"/>
  <c r="AS87"/>
  <c r="AR87"/>
  <c r="AQ87"/>
  <c r="AP87"/>
  <c r="AO87"/>
  <c r="AN87"/>
  <c r="AM87"/>
  <c r="AL87"/>
  <c r="AK87"/>
  <c r="AI87" s="1"/>
  <c r="AI86"/>
  <c r="AI85"/>
  <c r="AI84"/>
  <c r="AI83"/>
  <c r="AI82"/>
  <c r="AI81"/>
  <c r="AI80"/>
  <c r="AI79"/>
  <c r="AI78"/>
  <c r="AI77"/>
  <c r="AI76"/>
  <c r="AI75"/>
  <c r="AI74"/>
  <c r="AI72"/>
  <c r="AI71"/>
  <c r="AI70"/>
  <c r="AI69"/>
  <c r="AI68"/>
  <c r="AI67"/>
  <c r="AI66"/>
  <c r="AI65"/>
  <c r="AW64"/>
  <c r="AV64"/>
  <c r="AU64"/>
  <c r="AT64"/>
  <c r="AS64"/>
  <c r="AR64"/>
  <c r="AQ64"/>
  <c r="AP64"/>
  <c r="AO64"/>
  <c r="AN64"/>
  <c r="AM64"/>
  <c r="AL64"/>
  <c r="AK64"/>
  <c r="AI63"/>
  <c r="AI62"/>
  <c r="AI61"/>
  <c r="AI60"/>
  <c r="AI59"/>
  <c r="AI58"/>
  <c r="AI57"/>
  <c r="AI56"/>
  <c r="AI55"/>
  <c r="AI54"/>
  <c r="AI53"/>
  <c r="AI52"/>
  <c r="AI51"/>
  <c r="AI50"/>
  <c r="AI49"/>
  <c r="AI48"/>
  <c r="AI47"/>
  <c r="AI46"/>
  <c r="AI45"/>
  <c r="AI44"/>
  <c r="AI43"/>
  <c r="AI42"/>
  <c r="AI41"/>
  <c r="AI32"/>
  <c r="AI31"/>
  <c r="AI30"/>
  <c r="AI29"/>
  <c r="AI28"/>
  <c r="AI27"/>
  <c r="AI26"/>
  <c r="AI25"/>
  <c r="AI24"/>
  <c r="AI23"/>
  <c r="AI22"/>
  <c r="AI21"/>
  <c r="AI20"/>
  <c r="AI19"/>
  <c r="AI18"/>
  <c r="AI17"/>
  <c r="AW16"/>
  <c r="AV16"/>
  <c r="AU16"/>
  <c r="AT16"/>
  <c r="AS16"/>
  <c r="AR16"/>
  <c r="AQ16"/>
  <c r="AP16"/>
  <c r="AO16"/>
  <c r="AN16"/>
  <c r="AM16"/>
  <c r="AL16"/>
  <c r="AK16"/>
  <c r="AI15"/>
  <c r="AI14"/>
  <c r="AI12"/>
  <c r="AI11"/>
  <c r="AW10"/>
  <c r="AV10"/>
  <c r="AU10"/>
  <c r="AT10"/>
  <c r="AS10"/>
  <c r="AR10"/>
  <c r="AQ10"/>
  <c r="AP10"/>
  <c r="AO10"/>
  <c r="AN10"/>
  <c r="AM10"/>
  <c r="AL10"/>
  <c r="AK10"/>
  <c r="AI10" s="1"/>
  <c r="AI9"/>
  <c r="AI8"/>
  <c r="AW6"/>
  <c r="AW5" s="1"/>
  <c r="AV6"/>
  <c r="AU6"/>
  <c r="AT6"/>
  <c r="AT5" s="1"/>
  <c r="AS6"/>
  <c r="AS5" s="1"/>
  <c r="AR6"/>
  <c r="AQ6"/>
  <c r="AQ5" s="1"/>
  <c r="AP6"/>
  <c r="AO6"/>
  <c r="AO5" s="1"/>
  <c r="AN6"/>
  <c r="AN5" s="1"/>
  <c r="AM6"/>
  <c r="AL6"/>
  <c r="AK6"/>
  <c r="AV5"/>
  <c r="AU5"/>
  <c r="AR5"/>
  <c r="AP5"/>
  <c r="AL5"/>
  <c r="T180"/>
  <c r="AH179"/>
  <c r="AG179"/>
  <c r="AF179"/>
  <c r="AE179"/>
  <c r="AD179"/>
  <c r="AC179"/>
  <c r="AB179"/>
  <c r="AA179"/>
  <c r="Z179"/>
  <c r="Y179"/>
  <c r="X179"/>
  <c r="W179"/>
  <c r="T179"/>
  <c r="T178"/>
  <c r="T177"/>
  <c r="T176"/>
  <c r="T175"/>
  <c r="T174"/>
  <c r="T173"/>
  <c r="T172"/>
  <c r="AH171"/>
  <c r="AH152" s="1"/>
  <c r="AG171"/>
  <c r="AF171"/>
  <c r="AF152" s="1"/>
  <c r="AE171"/>
  <c r="AD171"/>
  <c r="AC171"/>
  <c r="AB171"/>
  <c r="AB152" s="1"/>
  <c r="AA171"/>
  <c r="Z171"/>
  <c r="Z152" s="1"/>
  <c r="Y171"/>
  <c r="X171"/>
  <c r="W171"/>
  <c r="T170"/>
  <c r="T169"/>
  <c r="T168"/>
  <c r="T166"/>
  <c r="T165"/>
  <c r="T164"/>
  <c r="T163"/>
  <c r="T162"/>
  <c r="T161"/>
  <c r="T160"/>
  <c r="T159"/>
  <c r="AH158"/>
  <c r="AG158"/>
  <c r="AG152" s="1"/>
  <c r="AF158"/>
  <c r="AE158"/>
  <c r="AE152" s="1"/>
  <c r="AD158"/>
  <c r="AC158"/>
  <c r="AB158"/>
  <c r="AA158"/>
  <c r="AA152" s="1"/>
  <c r="Z158"/>
  <c r="Y158"/>
  <c r="Y152" s="1"/>
  <c r="X158"/>
  <c r="W158"/>
  <c r="T157"/>
  <c r="T156"/>
  <c r="T155"/>
  <c r="T154"/>
  <c r="T153"/>
  <c r="AC152"/>
  <c r="W152"/>
  <c r="T151"/>
  <c r="T150"/>
  <c r="T149"/>
  <c r="T148"/>
  <c r="T147"/>
  <c r="T146"/>
  <c r="T145"/>
  <c r="T144"/>
  <c r="T143"/>
  <c r="T142"/>
  <c r="T141"/>
  <c r="T140"/>
  <c r="T139"/>
  <c r="T138"/>
  <c r="AH137"/>
  <c r="AG137"/>
  <c r="AF137"/>
  <c r="AE137"/>
  <c r="AE136" s="1"/>
  <c r="AD137"/>
  <c r="AC137"/>
  <c r="AB137"/>
  <c r="AA137"/>
  <c r="Z137"/>
  <c r="Y137"/>
  <c r="X137"/>
  <c r="W137"/>
  <c r="T135"/>
  <c r="T134"/>
  <c r="T133"/>
  <c r="T132"/>
  <c r="T131"/>
  <c r="T130"/>
  <c r="T129"/>
  <c r="AH128"/>
  <c r="AG128"/>
  <c r="AF128"/>
  <c r="AE128"/>
  <c r="AD128"/>
  <c r="AC128"/>
  <c r="AB128"/>
  <c r="AA128"/>
  <c r="Z128"/>
  <c r="Y128"/>
  <c r="X128"/>
  <c r="W128"/>
  <c r="T127"/>
  <c r="T126"/>
  <c r="T125"/>
  <c r="T124"/>
  <c r="T123"/>
  <c r="T122"/>
  <c r="T121"/>
  <c r="T120"/>
  <c r="T119"/>
  <c r="T118"/>
  <c r="AH117"/>
  <c r="AH116" s="1"/>
  <c r="AG117"/>
  <c r="AF117"/>
  <c r="AF116" s="1"/>
  <c r="AE117"/>
  <c r="AD117"/>
  <c r="AD116" s="1"/>
  <c r="AC117"/>
  <c r="AB117"/>
  <c r="AB116" s="1"/>
  <c r="AA117"/>
  <c r="Z117"/>
  <c r="Z116" s="1"/>
  <c r="Y117"/>
  <c r="X117"/>
  <c r="X116" s="1"/>
  <c r="W117"/>
  <c r="T117"/>
  <c r="AC116"/>
  <c r="W116"/>
  <c r="T115"/>
  <c r="T114"/>
  <c r="T113"/>
  <c r="T112"/>
  <c r="T111"/>
  <c r="T110"/>
  <c r="AH109"/>
  <c r="AG109"/>
  <c r="AG103" s="1"/>
  <c r="AF109"/>
  <c r="AE109"/>
  <c r="AE103" s="1"/>
  <c r="AD109"/>
  <c r="AC109"/>
  <c r="AB109"/>
  <c r="AA109"/>
  <c r="AA103" s="1"/>
  <c r="Z109"/>
  <c r="Y109"/>
  <c r="Y103" s="1"/>
  <c r="X109"/>
  <c r="W109"/>
  <c r="T108"/>
  <c r="T107"/>
  <c r="T106"/>
  <c r="T105"/>
  <c r="AH104"/>
  <c r="AH103" s="1"/>
  <c r="AG104"/>
  <c r="AF104"/>
  <c r="AF103" s="1"/>
  <c r="AE104"/>
  <c r="AD104"/>
  <c r="AD103" s="1"/>
  <c r="AC104"/>
  <c r="AB104"/>
  <c r="AB103" s="1"/>
  <c r="AA104"/>
  <c r="Z104"/>
  <c r="Z103" s="1"/>
  <c r="Y104"/>
  <c r="X104"/>
  <c r="W104"/>
  <c r="X103"/>
  <c r="T102"/>
  <c r="T101"/>
  <c r="T100"/>
  <c r="T99"/>
  <c r="T98"/>
  <c r="T91"/>
  <c r="T90"/>
  <c r="T89"/>
  <c r="T88"/>
  <c r="AH87"/>
  <c r="AG87"/>
  <c r="AF87"/>
  <c r="AE87"/>
  <c r="AD87"/>
  <c r="AC87"/>
  <c r="AB87"/>
  <c r="AA87"/>
  <c r="Z87"/>
  <c r="Y87"/>
  <c r="X87"/>
  <c r="W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AH64"/>
  <c r="AG64"/>
  <c r="AF64"/>
  <c r="AE64"/>
  <c r="AD64"/>
  <c r="AC64"/>
  <c r="AB64"/>
  <c r="AA64"/>
  <c r="Z64"/>
  <c r="Y64"/>
  <c r="X64"/>
  <c r="W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32"/>
  <c r="T31"/>
  <c r="T30"/>
  <c r="T29"/>
  <c r="T28"/>
  <c r="T27"/>
  <c r="T26"/>
  <c r="T25"/>
  <c r="T24"/>
  <c r="T23"/>
  <c r="T22"/>
  <c r="T21"/>
  <c r="T20"/>
  <c r="T19"/>
  <c r="T18"/>
  <c r="T17"/>
  <c r="AH16"/>
  <c r="AG16"/>
  <c r="AF16"/>
  <c r="AE16"/>
  <c r="AD16"/>
  <c r="AC16"/>
  <c r="AB16"/>
  <c r="AA16"/>
  <c r="Z16"/>
  <c r="Y16"/>
  <c r="X16"/>
  <c r="W16"/>
  <c r="T15"/>
  <c r="T14"/>
  <c r="T12"/>
  <c r="T11"/>
  <c r="AH10"/>
  <c r="AG10"/>
  <c r="AF10"/>
  <c r="AE10"/>
  <c r="AD10"/>
  <c r="AC10"/>
  <c r="AB10"/>
  <c r="AA10"/>
  <c r="Z10"/>
  <c r="Y10"/>
  <c r="X10"/>
  <c r="W10"/>
  <c r="T9"/>
  <c r="T8"/>
  <c r="T7"/>
  <c r="AH6"/>
  <c r="AH5" s="1"/>
  <c r="AG6"/>
  <c r="AF6"/>
  <c r="AF5" s="1"/>
  <c r="AE6"/>
  <c r="AE5" s="1"/>
  <c r="AD6"/>
  <c r="AC6"/>
  <c r="AC5" s="1"/>
  <c r="AB6"/>
  <c r="AB5" s="1"/>
  <c r="AA6"/>
  <c r="Z6"/>
  <c r="Z5" s="1"/>
  <c r="Y6"/>
  <c r="Y5" s="1"/>
  <c r="X6"/>
  <c r="W6"/>
  <c r="W5" s="1"/>
  <c r="AG5"/>
  <c r="AD5"/>
  <c r="AA5"/>
  <c r="X5"/>
  <c r="E7"/>
  <c r="E8"/>
  <c r="E9"/>
  <c r="E11"/>
  <c r="E12"/>
  <c r="E14"/>
  <c r="E15"/>
  <c r="E17"/>
  <c r="E18"/>
  <c r="E19"/>
  <c r="E20"/>
  <c r="E21"/>
  <c r="E22"/>
  <c r="E23"/>
  <c r="E24"/>
  <c r="E25"/>
  <c r="E26"/>
  <c r="E27"/>
  <c r="E28"/>
  <c r="E29"/>
  <c r="E30"/>
  <c r="E31"/>
  <c r="E32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8"/>
  <c r="E89"/>
  <c r="E90"/>
  <c r="E91"/>
  <c r="E93"/>
  <c r="E94"/>
  <c r="E95"/>
  <c r="E96"/>
  <c r="E97"/>
  <c r="E98"/>
  <c r="E99"/>
  <c r="E100"/>
  <c r="E101"/>
  <c r="E102"/>
  <c r="E105"/>
  <c r="E106"/>
  <c r="E107"/>
  <c r="E108"/>
  <c r="E110"/>
  <c r="E111"/>
  <c r="E112"/>
  <c r="E113"/>
  <c r="E114"/>
  <c r="E115"/>
  <c r="E118"/>
  <c r="E119"/>
  <c r="E120"/>
  <c r="E121"/>
  <c r="E122"/>
  <c r="E123"/>
  <c r="E124"/>
  <c r="E125"/>
  <c r="E126"/>
  <c r="E127"/>
  <c r="E129"/>
  <c r="E130"/>
  <c r="E131"/>
  <c r="E132"/>
  <c r="E133"/>
  <c r="E134"/>
  <c r="E135"/>
  <c r="E138"/>
  <c r="E139"/>
  <c r="E140"/>
  <c r="E141"/>
  <c r="E142"/>
  <c r="E143"/>
  <c r="E144"/>
  <c r="E145"/>
  <c r="E146"/>
  <c r="E147"/>
  <c r="E148"/>
  <c r="E149"/>
  <c r="E150"/>
  <c r="E151"/>
  <c r="E153"/>
  <c r="E155"/>
  <c r="E156"/>
  <c r="E157"/>
  <c r="E159"/>
  <c r="E160"/>
  <c r="E162"/>
  <c r="E163"/>
  <c r="E164"/>
  <c r="E165"/>
  <c r="E166"/>
  <c r="E168"/>
  <c r="E169"/>
  <c r="E170"/>
  <c r="E172"/>
  <c r="E173"/>
  <c r="E174"/>
  <c r="E175"/>
  <c r="E176"/>
  <c r="E177"/>
  <c r="E178"/>
  <c r="E180"/>
  <c r="H171"/>
  <c r="I171"/>
  <c r="J171"/>
  <c r="K171"/>
  <c r="L171"/>
  <c r="M171"/>
  <c r="N171"/>
  <c r="O171"/>
  <c r="P171"/>
  <c r="Q171"/>
  <c r="R171"/>
  <c r="S171"/>
  <c r="G171"/>
  <c r="E171" s="1"/>
  <c r="H158"/>
  <c r="I158"/>
  <c r="I152" s="1"/>
  <c r="J158"/>
  <c r="K158"/>
  <c r="K152" s="1"/>
  <c r="L158"/>
  <c r="M158"/>
  <c r="N158"/>
  <c r="O158"/>
  <c r="O152" s="1"/>
  <c r="P158"/>
  <c r="Q158"/>
  <c r="Q152" s="1"/>
  <c r="R158"/>
  <c r="S158"/>
  <c r="S152" s="1"/>
  <c r="G158"/>
  <c r="E158" s="1"/>
  <c r="H137"/>
  <c r="I137"/>
  <c r="J137"/>
  <c r="K137"/>
  <c r="L137"/>
  <c r="M137"/>
  <c r="N137"/>
  <c r="O137"/>
  <c r="P137"/>
  <c r="Q137"/>
  <c r="R137"/>
  <c r="S137"/>
  <c r="G137"/>
  <c r="H128"/>
  <c r="I128"/>
  <c r="J128"/>
  <c r="K128"/>
  <c r="L128"/>
  <c r="M128"/>
  <c r="N128"/>
  <c r="O128"/>
  <c r="P128"/>
  <c r="Q128"/>
  <c r="R128"/>
  <c r="S128"/>
  <c r="G128"/>
  <c r="H117"/>
  <c r="H116" s="1"/>
  <c r="I117"/>
  <c r="J117"/>
  <c r="J116" s="1"/>
  <c r="K117"/>
  <c r="L117"/>
  <c r="L116" s="1"/>
  <c r="M117"/>
  <c r="N117"/>
  <c r="N116" s="1"/>
  <c r="O117"/>
  <c r="P117"/>
  <c r="P116" s="1"/>
  <c r="Q117"/>
  <c r="R117"/>
  <c r="R116" s="1"/>
  <c r="S117"/>
  <c r="G117"/>
  <c r="E117" s="1"/>
  <c r="H109"/>
  <c r="I109"/>
  <c r="J109"/>
  <c r="K109"/>
  <c r="L109"/>
  <c r="M109"/>
  <c r="N109"/>
  <c r="O109"/>
  <c r="P109"/>
  <c r="Q109"/>
  <c r="R109"/>
  <c r="S109"/>
  <c r="G109"/>
  <c r="H104"/>
  <c r="H103" s="1"/>
  <c r="I104"/>
  <c r="J104"/>
  <c r="J103" s="1"/>
  <c r="K104"/>
  <c r="L104"/>
  <c r="L103" s="1"/>
  <c r="M104"/>
  <c r="N104"/>
  <c r="N103" s="1"/>
  <c r="O104"/>
  <c r="P104"/>
  <c r="P103" s="1"/>
  <c r="Q104"/>
  <c r="R104"/>
  <c r="R103" s="1"/>
  <c r="S104"/>
  <c r="G104"/>
  <c r="E104" s="1"/>
  <c r="H87"/>
  <c r="I87"/>
  <c r="J87"/>
  <c r="K87"/>
  <c r="L87"/>
  <c r="M87"/>
  <c r="N87"/>
  <c r="O87"/>
  <c r="P87"/>
  <c r="Q87"/>
  <c r="R87"/>
  <c r="S87"/>
  <c r="G87"/>
  <c r="H64"/>
  <c r="I64"/>
  <c r="J64"/>
  <c r="K64"/>
  <c r="L64"/>
  <c r="M64"/>
  <c r="N64"/>
  <c r="O64"/>
  <c r="P64"/>
  <c r="Q64"/>
  <c r="R64"/>
  <c r="S64"/>
  <c r="G64"/>
  <c r="E64" s="1"/>
  <c r="H16"/>
  <c r="I16"/>
  <c r="J16"/>
  <c r="K16"/>
  <c r="L16"/>
  <c r="M16"/>
  <c r="N16"/>
  <c r="O16"/>
  <c r="P16"/>
  <c r="Q16"/>
  <c r="R16"/>
  <c r="S16"/>
  <c r="G16"/>
  <c r="H10"/>
  <c r="I10"/>
  <c r="J10"/>
  <c r="K10"/>
  <c r="L10"/>
  <c r="M10"/>
  <c r="N10"/>
  <c r="O10"/>
  <c r="P10"/>
  <c r="Q10"/>
  <c r="R10"/>
  <c r="S10"/>
  <c r="G10"/>
  <c r="H6"/>
  <c r="I6"/>
  <c r="J6"/>
  <c r="K6"/>
  <c r="K5" s="1"/>
  <c r="L6"/>
  <c r="M6"/>
  <c r="M5" s="1"/>
  <c r="N6"/>
  <c r="O6"/>
  <c r="O5" s="1"/>
  <c r="P6"/>
  <c r="Q6"/>
  <c r="Q5" s="1"/>
  <c r="R6"/>
  <c r="S6"/>
  <c r="S5" s="1"/>
  <c r="G6"/>
  <c r="H179"/>
  <c r="I179"/>
  <c r="J179"/>
  <c r="K179"/>
  <c r="L179"/>
  <c r="M179"/>
  <c r="N179"/>
  <c r="O179"/>
  <c r="P179"/>
  <c r="Q179"/>
  <c r="R179"/>
  <c r="S179"/>
  <c r="G179"/>
  <c r="AA182" i="2"/>
  <c r="AK181"/>
  <c r="AJ181"/>
  <c r="AI181"/>
  <c r="AH181"/>
  <c r="AG181"/>
  <c r="AF181"/>
  <c r="AE181"/>
  <c r="AD181"/>
  <c r="AC181"/>
  <c r="AB181"/>
  <c r="AA180"/>
  <c r="AA179"/>
  <c r="AA178"/>
  <c r="AA177"/>
  <c r="AA176"/>
  <c r="AA175"/>
  <c r="AA174"/>
  <c r="AK173"/>
  <c r="AJ173"/>
  <c r="AI173"/>
  <c r="AH173"/>
  <c r="AG173"/>
  <c r="AF173"/>
  <c r="AE173"/>
  <c r="AD173"/>
  <c r="AC173"/>
  <c r="AB173"/>
  <c r="AA172"/>
  <c r="AA171"/>
  <c r="AA170"/>
  <c r="AA169"/>
  <c r="AA168"/>
  <c r="AA167"/>
  <c r="AA166"/>
  <c r="AA165"/>
  <c r="AA164"/>
  <c r="AA163"/>
  <c r="AA162"/>
  <c r="AA161"/>
  <c r="AK160"/>
  <c r="AJ160"/>
  <c r="AI160"/>
  <c r="AH160"/>
  <c r="AG160"/>
  <c r="AF160"/>
  <c r="AE160"/>
  <c r="AD160"/>
  <c r="AC160"/>
  <c r="AB160"/>
  <c r="AA159"/>
  <c r="AA158"/>
  <c r="AA157"/>
  <c r="AA156"/>
  <c r="AA155"/>
  <c r="AA153"/>
  <c r="AA152"/>
  <c r="AA151"/>
  <c r="AA150"/>
  <c r="AA149"/>
  <c r="AA148"/>
  <c r="AA147"/>
  <c r="AA146"/>
  <c r="AA145"/>
  <c r="AA144"/>
  <c r="AA143"/>
  <c r="AA142"/>
  <c r="AA141"/>
  <c r="AA140"/>
  <c r="AK139"/>
  <c r="AJ139"/>
  <c r="AI139"/>
  <c r="AH139"/>
  <c r="AG139"/>
  <c r="AF139"/>
  <c r="AE139"/>
  <c r="AD139"/>
  <c r="AC139"/>
  <c r="AB139"/>
  <c r="AA137"/>
  <c r="AA136"/>
  <c r="AA135"/>
  <c r="AA134"/>
  <c r="AA133"/>
  <c r="AA132"/>
  <c r="AA131"/>
  <c r="AK130"/>
  <c r="AJ130"/>
  <c r="AI130"/>
  <c r="AH130"/>
  <c r="AG130"/>
  <c r="AF130"/>
  <c r="AE130"/>
  <c r="AD130"/>
  <c r="AC130"/>
  <c r="AA129"/>
  <c r="AA128"/>
  <c r="AA127"/>
  <c r="AA126"/>
  <c r="AA125"/>
  <c r="AA124"/>
  <c r="AA123"/>
  <c r="C22" i="4" s="1"/>
  <c r="AA122" i="2"/>
  <c r="AA121"/>
  <c r="AA120"/>
  <c r="AK119"/>
  <c r="AK118" s="1"/>
  <c r="AJ119"/>
  <c r="AI119"/>
  <c r="AH119"/>
  <c r="AG119"/>
  <c r="AG118" s="1"/>
  <c r="AF119"/>
  <c r="AE119"/>
  <c r="AE118" s="1"/>
  <c r="AD119"/>
  <c r="AC119"/>
  <c r="AC118" s="1"/>
  <c r="AB119"/>
  <c r="AB118" s="1"/>
  <c r="AA117"/>
  <c r="AA116"/>
  <c r="AA115"/>
  <c r="AA114"/>
  <c r="AA113"/>
  <c r="C4" i="4" s="1"/>
  <c r="AA112" i="2"/>
  <c r="C3" i="4" s="1"/>
  <c r="AK111" i="2"/>
  <c r="AJ111"/>
  <c r="AI111"/>
  <c r="AH111"/>
  <c r="AG111"/>
  <c r="AF111"/>
  <c r="AE111"/>
  <c r="AD111"/>
  <c r="AC111"/>
  <c r="AB111"/>
  <c r="AA110"/>
  <c r="AA109"/>
  <c r="AA108"/>
  <c r="AA107"/>
  <c r="AK106"/>
  <c r="AJ106"/>
  <c r="AI106"/>
  <c r="AH106"/>
  <c r="AG106"/>
  <c r="AF106"/>
  <c r="AF105" s="1"/>
  <c r="AE106"/>
  <c r="AD106"/>
  <c r="AC106"/>
  <c r="AC105" s="1"/>
  <c r="AB106"/>
  <c r="AK105"/>
  <c r="AJ105"/>
  <c r="AH105"/>
  <c r="AD105"/>
  <c r="AA104"/>
  <c r="AA103"/>
  <c r="AA102"/>
  <c r="AA101"/>
  <c r="AA100"/>
  <c r="AA93"/>
  <c r="AA92"/>
  <c r="AA91"/>
  <c r="AA90"/>
  <c r="AK89"/>
  <c r="AJ89"/>
  <c r="AI89"/>
  <c r="AH89"/>
  <c r="AG89"/>
  <c r="AF89"/>
  <c r="AE89"/>
  <c r="AD89"/>
  <c r="AC89"/>
  <c r="AB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K66"/>
  <c r="AJ66"/>
  <c r="AI66"/>
  <c r="AH66"/>
  <c r="AG66"/>
  <c r="AF66"/>
  <c r="AE66"/>
  <c r="AD66"/>
  <c r="AC66"/>
  <c r="AB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34"/>
  <c r="AA33"/>
  <c r="AA32"/>
  <c r="AA31"/>
  <c r="AA30"/>
  <c r="AA29"/>
  <c r="AA28"/>
  <c r="AA27"/>
  <c r="AA26"/>
  <c r="AA25"/>
  <c r="AA24"/>
  <c r="AA23"/>
  <c r="AA22"/>
  <c r="AA21"/>
  <c r="AA20"/>
  <c r="AA19"/>
  <c r="AK18"/>
  <c r="AJ18"/>
  <c r="AI18"/>
  <c r="AH18"/>
  <c r="AG18"/>
  <c r="AF18"/>
  <c r="AE18"/>
  <c r="AD18"/>
  <c r="AC18"/>
  <c r="AB18"/>
  <c r="AA17"/>
  <c r="AA16"/>
  <c r="C7" i="4" s="1"/>
  <c r="AA14" i="2"/>
  <c r="AA13"/>
  <c r="AK12"/>
  <c r="AJ12"/>
  <c r="AI12"/>
  <c r="AH12"/>
  <c r="AG12"/>
  <c r="AG7" s="1"/>
  <c r="AF12"/>
  <c r="AE12"/>
  <c r="AD12"/>
  <c r="AC12"/>
  <c r="AB12"/>
  <c r="AA11"/>
  <c r="AA10"/>
  <c r="AA9"/>
  <c r="AK8"/>
  <c r="AJ8"/>
  <c r="AJ7" s="1"/>
  <c r="AI8"/>
  <c r="AH8"/>
  <c r="AH7" s="1"/>
  <c r="AG8"/>
  <c r="AF8"/>
  <c r="AE8"/>
  <c r="AD8"/>
  <c r="AD7" s="1"/>
  <c r="AC8"/>
  <c r="AB8"/>
  <c r="AA8" s="1"/>
  <c r="AI7"/>
  <c r="AF7"/>
  <c r="AC7"/>
  <c r="P28"/>
  <c r="P182"/>
  <c r="Z181"/>
  <c r="Y181"/>
  <c r="X181"/>
  <c r="W181"/>
  <c r="V181"/>
  <c r="U181"/>
  <c r="T181"/>
  <c r="S181"/>
  <c r="R181"/>
  <c r="Q181"/>
  <c r="P180"/>
  <c r="P179"/>
  <c r="P178"/>
  <c r="P177"/>
  <c r="P176"/>
  <c r="P175"/>
  <c r="P174"/>
  <c r="Z173"/>
  <c r="Y173"/>
  <c r="X173"/>
  <c r="W173"/>
  <c r="V173"/>
  <c r="U173"/>
  <c r="T173"/>
  <c r="S173"/>
  <c r="R173"/>
  <c r="Q173"/>
  <c r="P172"/>
  <c r="P171"/>
  <c r="P170"/>
  <c r="P169"/>
  <c r="P168"/>
  <c r="P167"/>
  <c r="P166"/>
  <c r="P165"/>
  <c r="P164"/>
  <c r="P163"/>
  <c r="P162"/>
  <c r="P161"/>
  <c r="Z160"/>
  <c r="Y160"/>
  <c r="Y154" s="1"/>
  <c r="X160"/>
  <c r="W160"/>
  <c r="V160"/>
  <c r="U160"/>
  <c r="U154" s="1"/>
  <c r="T160"/>
  <c r="S160"/>
  <c r="R160"/>
  <c r="Q160"/>
  <c r="Q154" s="1"/>
  <c r="P159"/>
  <c r="P158"/>
  <c r="P157"/>
  <c r="P156"/>
  <c r="P155"/>
  <c r="P153"/>
  <c r="P152"/>
  <c r="P151"/>
  <c r="P150"/>
  <c r="P149"/>
  <c r="P148"/>
  <c r="P147"/>
  <c r="P146"/>
  <c r="P145"/>
  <c r="P144"/>
  <c r="P143"/>
  <c r="P142"/>
  <c r="P141"/>
  <c r="P140"/>
  <c r="Z139"/>
  <c r="Y139"/>
  <c r="X139"/>
  <c r="W139"/>
  <c r="V139"/>
  <c r="U139"/>
  <c r="T139"/>
  <c r="S139"/>
  <c r="R139"/>
  <c r="Q139"/>
  <c r="P137"/>
  <c r="P136"/>
  <c r="P135"/>
  <c r="P134"/>
  <c r="P133"/>
  <c r="P132"/>
  <c r="P131"/>
  <c r="Z130"/>
  <c r="Y130"/>
  <c r="X130"/>
  <c r="W130"/>
  <c r="V130"/>
  <c r="U130"/>
  <c r="T130"/>
  <c r="S130"/>
  <c r="R130"/>
  <c r="P129"/>
  <c r="P128"/>
  <c r="P127"/>
  <c r="P126"/>
  <c r="P125"/>
  <c r="P124"/>
  <c r="P123"/>
  <c r="P122"/>
  <c r="P121"/>
  <c r="P120"/>
  <c r="Z119"/>
  <c r="Y119"/>
  <c r="X119"/>
  <c r="W119"/>
  <c r="V119"/>
  <c r="U119"/>
  <c r="U118" s="1"/>
  <c r="T119"/>
  <c r="S119"/>
  <c r="S118" s="1"/>
  <c r="R119"/>
  <c r="Q119"/>
  <c r="Q118" s="1"/>
  <c r="P117"/>
  <c r="P116"/>
  <c r="P115"/>
  <c r="P114"/>
  <c r="P113"/>
  <c r="P112"/>
  <c r="Z111"/>
  <c r="Y111"/>
  <c r="X111"/>
  <c r="W111"/>
  <c r="V111"/>
  <c r="U111"/>
  <c r="T111"/>
  <c r="S111"/>
  <c r="R111"/>
  <c r="Q111"/>
  <c r="Q105" s="1"/>
  <c r="P110"/>
  <c r="P109"/>
  <c r="P108"/>
  <c r="P107"/>
  <c r="Z106"/>
  <c r="Y106"/>
  <c r="X106"/>
  <c r="W106"/>
  <c r="V106"/>
  <c r="V105" s="1"/>
  <c r="U106"/>
  <c r="U105" s="1"/>
  <c r="T106"/>
  <c r="S106"/>
  <c r="S105" s="1"/>
  <c r="R106"/>
  <c r="Q106"/>
  <c r="Z105"/>
  <c r="W105"/>
  <c r="T105"/>
  <c r="P104"/>
  <c r="P103"/>
  <c r="P102"/>
  <c r="P101"/>
  <c r="P93"/>
  <c r="P92"/>
  <c r="P91"/>
  <c r="P90"/>
  <c r="Z89"/>
  <c r="Y89"/>
  <c r="X89"/>
  <c r="W89"/>
  <c r="V89"/>
  <c r="U89"/>
  <c r="T89"/>
  <c r="S89"/>
  <c r="R89"/>
  <c r="Q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Z66"/>
  <c r="Y66"/>
  <c r="X66"/>
  <c r="W66"/>
  <c r="V66"/>
  <c r="U66"/>
  <c r="T66"/>
  <c r="S66"/>
  <c r="R66"/>
  <c r="Q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34"/>
  <c r="P33"/>
  <c r="P32"/>
  <c r="P31"/>
  <c r="P30"/>
  <c r="P29"/>
  <c r="P27"/>
  <c r="P26"/>
  <c r="P25"/>
  <c r="P24"/>
  <c r="P23"/>
  <c r="P22"/>
  <c r="P21"/>
  <c r="P20"/>
  <c r="P19"/>
  <c r="Z18"/>
  <c r="Y18"/>
  <c r="X18"/>
  <c r="W18"/>
  <c r="V18"/>
  <c r="U18"/>
  <c r="T18"/>
  <c r="S18"/>
  <c r="R18"/>
  <c r="Q18"/>
  <c r="P17"/>
  <c r="P16"/>
  <c r="P14"/>
  <c r="P13"/>
  <c r="Z12"/>
  <c r="Z7" s="1"/>
  <c r="Y12"/>
  <c r="X12"/>
  <c r="W12"/>
  <c r="V12"/>
  <c r="U12"/>
  <c r="T12"/>
  <c r="T7" s="1"/>
  <c r="S12"/>
  <c r="R12"/>
  <c r="Q12"/>
  <c r="P11"/>
  <c r="P10"/>
  <c r="P9"/>
  <c r="Z8"/>
  <c r="Y8"/>
  <c r="X8"/>
  <c r="W8"/>
  <c r="W7" s="1"/>
  <c r="V8"/>
  <c r="U8"/>
  <c r="U7" s="1"/>
  <c r="T8"/>
  <c r="S8"/>
  <c r="R8"/>
  <c r="Q8"/>
  <c r="P8" s="1"/>
  <c r="Y7"/>
  <c r="V7"/>
  <c r="S7"/>
  <c r="E9"/>
  <c r="E10"/>
  <c r="E11"/>
  <c r="E13"/>
  <c r="E14"/>
  <c r="E16"/>
  <c r="E7" i="4" s="1"/>
  <c r="E17" i="2"/>
  <c r="E19"/>
  <c r="E20"/>
  <c r="E21"/>
  <c r="E22"/>
  <c r="E23"/>
  <c r="E24"/>
  <c r="E25"/>
  <c r="E26"/>
  <c r="E27"/>
  <c r="E28"/>
  <c r="E29"/>
  <c r="E30"/>
  <c r="E31"/>
  <c r="E32"/>
  <c r="E33"/>
  <c r="E34"/>
  <c r="E36"/>
  <c r="E37"/>
  <c r="E38"/>
  <c r="E39"/>
  <c r="E40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90"/>
  <c r="E91"/>
  <c r="E92"/>
  <c r="E93"/>
  <c r="E95"/>
  <c r="E96"/>
  <c r="E97"/>
  <c r="E98"/>
  <c r="E100"/>
  <c r="E101"/>
  <c r="E102"/>
  <c r="E103"/>
  <c r="E104"/>
  <c r="E107"/>
  <c r="E108"/>
  <c r="E109"/>
  <c r="E110"/>
  <c r="E112"/>
  <c r="E3" i="4" s="1"/>
  <c r="E113" i="2"/>
  <c r="E114"/>
  <c r="E115"/>
  <c r="E116"/>
  <c r="E117"/>
  <c r="E120"/>
  <c r="E121"/>
  <c r="E122"/>
  <c r="E123"/>
  <c r="E124"/>
  <c r="E125"/>
  <c r="E126"/>
  <c r="E127"/>
  <c r="E128"/>
  <c r="E129"/>
  <c r="E131"/>
  <c r="E132"/>
  <c r="E133"/>
  <c r="E134"/>
  <c r="E135"/>
  <c r="E136"/>
  <c r="E137"/>
  <c r="E140"/>
  <c r="E141"/>
  <c r="E142"/>
  <c r="E143"/>
  <c r="E144"/>
  <c r="E145"/>
  <c r="E146"/>
  <c r="E147"/>
  <c r="E148"/>
  <c r="E149"/>
  <c r="E150"/>
  <c r="E151"/>
  <c r="E152"/>
  <c r="E153"/>
  <c r="E155"/>
  <c r="E156"/>
  <c r="E157"/>
  <c r="E158"/>
  <c r="E159"/>
  <c r="E161"/>
  <c r="E162"/>
  <c r="E163"/>
  <c r="E164"/>
  <c r="E165"/>
  <c r="E166"/>
  <c r="E167"/>
  <c r="E168"/>
  <c r="E169"/>
  <c r="E170"/>
  <c r="E171"/>
  <c r="E172"/>
  <c r="E174"/>
  <c r="E175"/>
  <c r="E176"/>
  <c r="E177"/>
  <c r="E178"/>
  <c r="E179"/>
  <c r="E180"/>
  <c r="E182"/>
  <c r="G181"/>
  <c r="H181"/>
  <c r="I181"/>
  <c r="J181"/>
  <c r="K181"/>
  <c r="L181"/>
  <c r="M181"/>
  <c r="N181"/>
  <c r="O181"/>
  <c r="F181"/>
  <c r="G173"/>
  <c r="H173"/>
  <c r="I173"/>
  <c r="J173"/>
  <c r="K173"/>
  <c r="L173"/>
  <c r="M173"/>
  <c r="N173"/>
  <c r="O173"/>
  <c r="F173"/>
  <c r="G160"/>
  <c r="H160"/>
  <c r="I160"/>
  <c r="J160"/>
  <c r="K160"/>
  <c r="L160"/>
  <c r="M160"/>
  <c r="N160"/>
  <c r="O160"/>
  <c r="F160"/>
  <c r="G139"/>
  <c r="H139"/>
  <c r="I139"/>
  <c r="J139"/>
  <c r="K139"/>
  <c r="L139"/>
  <c r="M139"/>
  <c r="N139"/>
  <c r="O139"/>
  <c r="F139"/>
  <c r="G130"/>
  <c r="H130"/>
  <c r="I130"/>
  <c r="J130"/>
  <c r="K130"/>
  <c r="L130"/>
  <c r="M130"/>
  <c r="N130"/>
  <c r="O130"/>
  <c r="G106"/>
  <c r="H106"/>
  <c r="I106"/>
  <c r="J106"/>
  <c r="K106"/>
  <c r="L106"/>
  <c r="M106"/>
  <c r="N106"/>
  <c r="O106"/>
  <c r="F106"/>
  <c r="E106" s="1"/>
  <c r="G89"/>
  <c r="H89"/>
  <c r="I89"/>
  <c r="J89"/>
  <c r="K89"/>
  <c r="L89"/>
  <c r="M89"/>
  <c r="N89"/>
  <c r="O89"/>
  <c r="F89"/>
  <c r="J172" i="1"/>
  <c r="J173"/>
  <c r="J174"/>
  <c r="G172"/>
  <c r="G173"/>
  <c r="G174"/>
  <c r="D172"/>
  <c r="D173"/>
  <c r="D174"/>
  <c r="J162"/>
  <c r="J163"/>
  <c r="J164"/>
  <c r="G162"/>
  <c r="G163"/>
  <c r="G164"/>
  <c r="D162"/>
  <c r="D163"/>
  <c r="D164"/>
  <c r="J152"/>
  <c r="J153"/>
  <c r="J154"/>
  <c r="G152"/>
  <c r="G153"/>
  <c r="G154"/>
  <c r="D152"/>
  <c r="D153"/>
  <c r="D154"/>
  <c r="D146"/>
  <c r="D147"/>
  <c r="D148"/>
  <c r="G146"/>
  <c r="G147"/>
  <c r="G148"/>
  <c r="J146"/>
  <c r="J147"/>
  <c r="J148"/>
  <c r="L145"/>
  <c r="K145"/>
  <c r="J145" s="1"/>
  <c r="I145"/>
  <c r="H145"/>
  <c r="F145"/>
  <c r="E145"/>
  <c r="L128"/>
  <c r="K128"/>
  <c r="I128"/>
  <c r="H128"/>
  <c r="F128"/>
  <c r="E128"/>
  <c r="J129"/>
  <c r="J130"/>
  <c r="J131"/>
  <c r="G129"/>
  <c r="G130"/>
  <c r="G131"/>
  <c r="D129"/>
  <c r="D130"/>
  <c r="D131"/>
  <c r="J69"/>
  <c r="J70"/>
  <c r="J71"/>
  <c r="G69"/>
  <c r="G70"/>
  <c r="G71"/>
  <c r="D69"/>
  <c r="D70"/>
  <c r="D71"/>
  <c r="G119" i="2"/>
  <c r="H119"/>
  <c r="H118" s="1"/>
  <c r="I119"/>
  <c r="J119"/>
  <c r="K119"/>
  <c r="L119"/>
  <c r="M119"/>
  <c r="N119"/>
  <c r="N118" s="1"/>
  <c r="O119"/>
  <c r="F119"/>
  <c r="F118" s="1"/>
  <c r="G111"/>
  <c r="H111"/>
  <c r="I111"/>
  <c r="J111"/>
  <c r="K111"/>
  <c r="L111"/>
  <c r="M111"/>
  <c r="N111"/>
  <c r="O111"/>
  <c r="F111"/>
  <c r="G66"/>
  <c r="H66"/>
  <c r="I66"/>
  <c r="J66"/>
  <c r="K66"/>
  <c r="L66"/>
  <c r="M66"/>
  <c r="N66"/>
  <c r="O66"/>
  <c r="F66"/>
  <c r="G18"/>
  <c r="H18"/>
  <c r="I18"/>
  <c r="J18"/>
  <c r="K18"/>
  <c r="L18"/>
  <c r="M18"/>
  <c r="N18"/>
  <c r="O18"/>
  <c r="F18"/>
  <c r="G12"/>
  <c r="H12"/>
  <c r="I12"/>
  <c r="J12"/>
  <c r="K12"/>
  <c r="L12"/>
  <c r="M12"/>
  <c r="N12"/>
  <c r="O12"/>
  <c r="F12"/>
  <c r="E12" s="1"/>
  <c r="G8"/>
  <c r="H8"/>
  <c r="I8"/>
  <c r="I7" s="1"/>
  <c r="J8"/>
  <c r="K8"/>
  <c r="L8"/>
  <c r="L7" s="1"/>
  <c r="M8"/>
  <c r="N8"/>
  <c r="O8"/>
  <c r="O7" s="1"/>
  <c r="F8"/>
  <c r="E8" s="1"/>
  <c r="J6" i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8"/>
  <c r="J49"/>
  <c r="J50"/>
  <c r="C6" i="4" s="1"/>
  <c r="J52" i="1"/>
  <c r="J53"/>
  <c r="J55"/>
  <c r="J56"/>
  <c r="J58"/>
  <c r="J59"/>
  <c r="J60"/>
  <c r="J61"/>
  <c r="J62"/>
  <c r="J63"/>
  <c r="J64"/>
  <c r="J65"/>
  <c r="J66"/>
  <c r="J67"/>
  <c r="J68"/>
  <c r="J72"/>
  <c r="J73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32"/>
  <c r="J134"/>
  <c r="J135"/>
  <c r="J136"/>
  <c r="J137"/>
  <c r="J138"/>
  <c r="J139"/>
  <c r="J140"/>
  <c r="J141"/>
  <c r="J142"/>
  <c r="J143"/>
  <c r="J149"/>
  <c r="J151"/>
  <c r="J155"/>
  <c r="J156"/>
  <c r="J159"/>
  <c r="J160"/>
  <c r="J161"/>
  <c r="J165"/>
  <c r="J166"/>
  <c r="J167"/>
  <c r="C20" i="4" s="1"/>
  <c r="J168" i="1"/>
  <c r="J170"/>
  <c r="J171"/>
  <c r="J175"/>
  <c r="J176"/>
  <c r="J179"/>
  <c r="J180"/>
  <c r="J181"/>
  <c r="J182"/>
  <c r="J183"/>
  <c r="J184"/>
  <c r="J185"/>
  <c r="J186"/>
  <c r="J187"/>
  <c r="J188"/>
  <c r="J189"/>
  <c r="J190"/>
  <c r="J191"/>
  <c r="J192"/>
  <c r="J194"/>
  <c r="J195"/>
  <c r="C14" i="4" s="1"/>
  <c r="J196" i="1"/>
  <c r="C15" i="4" s="1"/>
  <c r="J197" i="1"/>
  <c r="C16" i="4" s="1"/>
  <c r="J198" i="1"/>
  <c r="C17" i="4" s="1"/>
  <c r="J200" i="1"/>
  <c r="J201"/>
  <c r="J202"/>
  <c r="J203"/>
  <c r="J204"/>
  <c r="J205"/>
  <c r="J206"/>
  <c r="J207"/>
  <c r="J208"/>
  <c r="J209"/>
  <c r="J210"/>
  <c r="J211"/>
  <c r="J213"/>
  <c r="J214"/>
  <c r="J215"/>
  <c r="J216"/>
  <c r="J217"/>
  <c r="J218"/>
  <c r="J219"/>
  <c r="J22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8"/>
  <c r="G49"/>
  <c r="G50"/>
  <c r="G52"/>
  <c r="G53"/>
  <c r="G55"/>
  <c r="G56"/>
  <c r="G58"/>
  <c r="G59"/>
  <c r="G60"/>
  <c r="G61"/>
  <c r="G62"/>
  <c r="G63"/>
  <c r="G64"/>
  <c r="G65"/>
  <c r="G66"/>
  <c r="G67"/>
  <c r="G68"/>
  <c r="G72"/>
  <c r="G73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32"/>
  <c r="G134"/>
  <c r="G135"/>
  <c r="G136"/>
  <c r="G137"/>
  <c r="G139"/>
  <c r="G140"/>
  <c r="G141"/>
  <c r="G142"/>
  <c r="G143"/>
  <c r="G149"/>
  <c r="G151"/>
  <c r="G155"/>
  <c r="G156"/>
  <c r="G159"/>
  <c r="G160"/>
  <c r="G161"/>
  <c r="G165"/>
  <c r="G166"/>
  <c r="G167"/>
  <c r="G168"/>
  <c r="G170"/>
  <c r="G171"/>
  <c r="G175"/>
  <c r="G176"/>
  <c r="G179"/>
  <c r="G180"/>
  <c r="G181"/>
  <c r="G182"/>
  <c r="G183"/>
  <c r="G184"/>
  <c r="G185"/>
  <c r="G186"/>
  <c r="G187"/>
  <c r="G188"/>
  <c r="G189"/>
  <c r="G190"/>
  <c r="G191"/>
  <c r="G192"/>
  <c r="G194"/>
  <c r="G195"/>
  <c r="G196"/>
  <c r="G197"/>
  <c r="G198"/>
  <c r="G200"/>
  <c r="G201"/>
  <c r="G202"/>
  <c r="G203"/>
  <c r="G204"/>
  <c r="G205"/>
  <c r="G206"/>
  <c r="G207"/>
  <c r="G208"/>
  <c r="G209"/>
  <c r="G210"/>
  <c r="G211"/>
  <c r="G213"/>
  <c r="G214"/>
  <c r="G215"/>
  <c r="G216"/>
  <c r="G217"/>
  <c r="G218"/>
  <c r="G219"/>
  <c r="G221"/>
  <c r="D6"/>
  <c r="D7"/>
  <c r="D8"/>
  <c r="D9"/>
  <c r="D10"/>
  <c r="D11"/>
  <c r="D12"/>
  <c r="D13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9"/>
  <c r="D50"/>
  <c r="E6" i="4" s="1"/>
  <c r="D52" i="1"/>
  <c r="D53"/>
  <c r="D55"/>
  <c r="D56"/>
  <c r="D58"/>
  <c r="D59"/>
  <c r="D60"/>
  <c r="D61"/>
  <c r="D62"/>
  <c r="D63"/>
  <c r="D64"/>
  <c r="D65"/>
  <c r="D66"/>
  <c r="D67"/>
  <c r="D68"/>
  <c r="D72"/>
  <c r="D73"/>
  <c r="D75"/>
  <c r="D76"/>
  <c r="D77"/>
  <c r="D78"/>
  <c r="D79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32"/>
  <c r="D134"/>
  <c r="D135"/>
  <c r="D136"/>
  <c r="D137"/>
  <c r="D138"/>
  <c r="D139"/>
  <c r="D140"/>
  <c r="D141"/>
  <c r="D142"/>
  <c r="D143"/>
  <c r="D149"/>
  <c r="D151"/>
  <c r="D155"/>
  <c r="D156"/>
  <c r="D159"/>
  <c r="D160"/>
  <c r="D161"/>
  <c r="D165"/>
  <c r="D166"/>
  <c r="D167"/>
  <c r="E20" i="4" s="1"/>
  <c r="D168" i="1"/>
  <c r="D170"/>
  <c r="D171"/>
  <c r="D175"/>
  <c r="D176"/>
  <c r="D179"/>
  <c r="D180"/>
  <c r="D181"/>
  <c r="D182"/>
  <c r="D183"/>
  <c r="D184"/>
  <c r="D185"/>
  <c r="D186"/>
  <c r="D187"/>
  <c r="D188"/>
  <c r="D189"/>
  <c r="D190"/>
  <c r="D191"/>
  <c r="D192"/>
  <c r="D194"/>
  <c r="D195"/>
  <c r="E14" i="4" s="1"/>
  <c r="D196" i="1"/>
  <c r="D197"/>
  <c r="D198"/>
  <c r="E17" i="4" s="1"/>
  <c r="D200" i="1"/>
  <c r="D201"/>
  <c r="D202"/>
  <c r="D203"/>
  <c r="D204"/>
  <c r="D205"/>
  <c r="D206"/>
  <c r="D207"/>
  <c r="D208"/>
  <c r="D209"/>
  <c r="D210"/>
  <c r="D211"/>
  <c r="D213"/>
  <c r="D214"/>
  <c r="D215"/>
  <c r="D216"/>
  <c r="D217"/>
  <c r="D218"/>
  <c r="D219"/>
  <c r="D221"/>
  <c r="F178"/>
  <c r="H178"/>
  <c r="I178"/>
  <c r="K178"/>
  <c r="L178"/>
  <c r="E178"/>
  <c r="F199"/>
  <c r="H199"/>
  <c r="I199"/>
  <c r="K199"/>
  <c r="L199"/>
  <c r="E199"/>
  <c r="F212"/>
  <c r="H212"/>
  <c r="I212"/>
  <c r="K212"/>
  <c r="L212"/>
  <c r="E212"/>
  <c r="F220"/>
  <c r="H220"/>
  <c r="I220"/>
  <c r="K220"/>
  <c r="L220"/>
  <c r="E220"/>
  <c r="F158"/>
  <c r="F157" s="1"/>
  <c r="H158"/>
  <c r="H157" s="1"/>
  <c r="I158"/>
  <c r="I157" s="1"/>
  <c r="K158"/>
  <c r="K157" s="1"/>
  <c r="L158"/>
  <c r="L157" s="1"/>
  <c r="E158"/>
  <c r="E157" s="1"/>
  <c r="F150"/>
  <c r="F144" s="1"/>
  <c r="H150"/>
  <c r="I150"/>
  <c r="K150"/>
  <c r="L150"/>
  <c r="L144" s="1"/>
  <c r="E150"/>
  <c r="J128"/>
  <c r="F105"/>
  <c r="H105"/>
  <c r="I105"/>
  <c r="K105"/>
  <c r="L105"/>
  <c r="E105"/>
  <c r="F57"/>
  <c r="H57"/>
  <c r="I57"/>
  <c r="K57"/>
  <c r="L57"/>
  <c r="E57"/>
  <c r="F51"/>
  <c r="H51"/>
  <c r="I51"/>
  <c r="K51"/>
  <c r="J51" s="1"/>
  <c r="L51"/>
  <c r="E51"/>
  <c r="F47"/>
  <c r="F46" s="1"/>
  <c r="H47"/>
  <c r="I47"/>
  <c r="K47"/>
  <c r="J47" s="1"/>
  <c r="L47"/>
  <c r="I46"/>
  <c r="L46"/>
  <c r="F5"/>
  <c r="H5"/>
  <c r="I5"/>
  <c r="K5"/>
  <c r="L5"/>
  <c r="E5"/>
  <c r="E13" i="4" l="1"/>
  <c r="E15"/>
  <c r="H2"/>
  <c r="AM5" i="3"/>
  <c r="AI5" s="1"/>
  <c r="AI6"/>
  <c r="E22" i="4"/>
  <c r="E16"/>
  <c r="Y136" i="3"/>
  <c r="AM136"/>
  <c r="AQ136"/>
  <c r="AS136"/>
  <c r="I5"/>
  <c r="E10"/>
  <c r="AK152"/>
  <c r="AK136" s="1"/>
  <c r="AK4" s="1"/>
  <c r="H46" i="1"/>
  <c r="AA116" i="3"/>
  <c r="AG116"/>
  <c r="T64"/>
  <c r="R5"/>
  <c r="P5"/>
  <c r="N5"/>
  <c r="L5"/>
  <c r="J5"/>
  <c r="H5"/>
  <c r="T97"/>
  <c r="E137"/>
  <c r="H4" i="4" s="1"/>
  <c r="C2"/>
  <c r="T16" i="3"/>
  <c r="T10"/>
  <c r="H7" i="2"/>
  <c r="AE105"/>
  <c r="AG105"/>
  <c r="T104" i="3"/>
  <c r="T171"/>
  <c r="AI97"/>
  <c r="AK92"/>
  <c r="AI92" s="1"/>
  <c r="W92"/>
  <c r="N7" i="2"/>
  <c r="G220" i="1"/>
  <c r="K7" i="2"/>
  <c r="R7"/>
  <c r="X7"/>
  <c r="P12"/>
  <c r="S154"/>
  <c r="AE7"/>
  <c r="AK7"/>
  <c r="AA12"/>
  <c r="C5" i="4" s="1"/>
  <c r="AA106" i="2"/>
  <c r="AB105"/>
  <c r="AA105" s="1"/>
  <c r="E6" i="3"/>
  <c r="E16"/>
  <c r="E87"/>
  <c r="S103"/>
  <c r="Q103"/>
  <c r="O103"/>
  <c r="M103"/>
  <c r="K103"/>
  <c r="I103"/>
  <c r="E109"/>
  <c r="R152"/>
  <c r="P152"/>
  <c r="N152"/>
  <c r="L152"/>
  <c r="J152"/>
  <c r="H152"/>
  <c r="G5"/>
  <c r="Z136"/>
  <c r="AB136"/>
  <c r="AB4" s="1"/>
  <c r="AF136"/>
  <c r="AH136"/>
  <c r="T92"/>
  <c r="T6"/>
  <c r="T87"/>
  <c r="W103"/>
  <c r="AC103"/>
  <c r="T109"/>
  <c r="Y116"/>
  <c r="AE116"/>
  <c r="T128"/>
  <c r="AC136"/>
  <c r="X152"/>
  <c r="AD152"/>
  <c r="AI16"/>
  <c r="AI64"/>
  <c r="AI104"/>
  <c r="AO103"/>
  <c r="AU103"/>
  <c r="AI117"/>
  <c r="AQ116"/>
  <c r="AW116"/>
  <c r="AI137"/>
  <c r="AO136"/>
  <c r="AU136"/>
  <c r="AI171"/>
  <c r="AI179"/>
  <c r="G80" i="1"/>
  <c r="R118" i="2"/>
  <c r="Z118"/>
  <c r="AF118"/>
  <c r="K118"/>
  <c r="T118"/>
  <c r="X118"/>
  <c r="AD118"/>
  <c r="AH118"/>
  <c r="V118"/>
  <c r="V154"/>
  <c r="V138" s="1"/>
  <c r="W154"/>
  <c r="W138" s="1"/>
  <c r="AK154"/>
  <c r="AK138" s="1"/>
  <c r="R154"/>
  <c r="R138" s="1"/>
  <c r="Z154"/>
  <c r="Z138" s="1"/>
  <c r="AA89"/>
  <c r="C11" i="4" s="1"/>
  <c r="J169" i="1"/>
  <c r="K46"/>
  <c r="J46" s="1"/>
  <c r="F54"/>
  <c r="D80"/>
  <c r="H74"/>
  <c r="H54" s="1"/>
  <c r="J80"/>
  <c r="T154" i="2"/>
  <c r="T138" s="1"/>
  <c r="X154"/>
  <c r="X138" s="1"/>
  <c r="AF154"/>
  <c r="AF138" s="1"/>
  <c r="AE154"/>
  <c r="AE138" s="1"/>
  <c r="AI154"/>
  <c r="AI138" s="1"/>
  <c r="AJ154"/>
  <c r="AJ138" s="1"/>
  <c r="W118"/>
  <c r="X105"/>
  <c r="P111"/>
  <c r="AI105"/>
  <c r="AA111"/>
  <c r="Y105"/>
  <c r="S138"/>
  <c r="P181"/>
  <c r="AA181"/>
  <c r="P173"/>
  <c r="AD154"/>
  <c r="AD138" s="1"/>
  <c r="AH154"/>
  <c r="AH138" s="1"/>
  <c r="AA173"/>
  <c r="AC154"/>
  <c r="AC138" s="1"/>
  <c r="AG154"/>
  <c r="AG138" s="1"/>
  <c r="P160"/>
  <c r="Q138"/>
  <c r="U138"/>
  <c r="Y138"/>
  <c r="AA139"/>
  <c r="E139"/>
  <c r="P130"/>
  <c r="AA130"/>
  <c r="E94"/>
  <c r="E99"/>
  <c r="AA99"/>
  <c r="E41"/>
  <c r="AA18"/>
  <c r="E18"/>
  <c r="D48" i="1"/>
  <c r="D44"/>
  <c r="AA160" i="2"/>
  <c r="E119"/>
  <c r="AJ118"/>
  <c r="Y118"/>
  <c r="AI118"/>
  <c r="E66"/>
  <c r="AA66"/>
  <c r="P66"/>
  <c r="Q7"/>
  <c r="P7" s="1"/>
  <c r="G105" i="1"/>
  <c r="S136" i="3"/>
  <c r="S4" s="1"/>
  <c r="Q136"/>
  <c r="Q4" s="1"/>
  <c r="O136"/>
  <c r="K136"/>
  <c r="K4" s="1"/>
  <c r="I136"/>
  <c r="R136"/>
  <c r="R4" s="1"/>
  <c r="P136"/>
  <c r="N136"/>
  <c r="L136"/>
  <c r="J136"/>
  <c r="H136"/>
  <c r="T137"/>
  <c r="AA136"/>
  <c r="AA4" s="1"/>
  <c r="AG136"/>
  <c r="X136"/>
  <c r="X4" s="1"/>
  <c r="AD136"/>
  <c r="S116"/>
  <c r="Q116"/>
  <c r="O116"/>
  <c r="M116"/>
  <c r="K116"/>
  <c r="I116"/>
  <c r="E128"/>
  <c r="G103"/>
  <c r="E103" s="1"/>
  <c r="AW13"/>
  <c r="AS13"/>
  <c r="AS4" s="1"/>
  <c r="AQ13"/>
  <c r="AQ4" s="1"/>
  <c r="AM13"/>
  <c r="AC13"/>
  <c r="AC4" s="1"/>
  <c r="Y13"/>
  <c r="W13"/>
  <c r="AV13"/>
  <c r="AT13"/>
  <c r="AP13"/>
  <c r="AN13"/>
  <c r="AN4" s="1"/>
  <c r="AH13"/>
  <c r="AF13"/>
  <c r="AB13"/>
  <c r="Z13"/>
  <c r="AI39"/>
  <c r="T39"/>
  <c r="S13"/>
  <c r="Q13"/>
  <c r="O13"/>
  <c r="M13"/>
  <c r="K13"/>
  <c r="I13"/>
  <c r="I4" s="1"/>
  <c r="X13"/>
  <c r="AD13"/>
  <c r="AP4"/>
  <c r="AO13"/>
  <c r="AU13"/>
  <c r="AI33"/>
  <c r="R13"/>
  <c r="P13"/>
  <c r="P4" s="1"/>
  <c r="N13"/>
  <c r="L13"/>
  <c r="L4" s="1"/>
  <c r="J13"/>
  <c r="H13"/>
  <c r="H4" s="1"/>
  <c r="AA13"/>
  <c r="AE13"/>
  <c r="AE4" s="1"/>
  <c r="AG13"/>
  <c r="AL13"/>
  <c r="AL4" s="1"/>
  <c r="AR13"/>
  <c r="AR4" s="1"/>
  <c r="T33"/>
  <c r="E173" i="2"/>
  <c r="E19" i="4" s="1"/>
  <c r="P139" i="2"/>
  <c r="P119"/>
  <c r="AA119"/>
  <c r="E111"/>
  <c r="P106"/>
  <c r="E89"/>
  <c r="P89"/>
  <c r="AK15"/>
  <c r="AK6" s="1"/>
  <c r="AG15"/>
  <c r="AE15"/>
  <c r="Z15"/>
  <c r="X15"/>
  <c r="R15"/>
  <c r="AJ15"/>
  <c r="AH15"/>
  <c r="AD15"/>
  <c r="U15"/>
  <c r="AA41"/>
  <c r="P41"/>
  <c r="O15"/>
  <c r="I15"/>
  <c r="T15"/>
  <c r="AC15"/>
  <c r="AI15"/>
  <c r="AB35"/>
  <c r="Q35"/>
  <c r="L15"/>
  <c r="W15"/>
  <c r="F193" i="1"/>
  <c r="F177" s="1"/>
  <c r="G212"/>
  <c r="G169"/>
  <c r="J105"/>
  <c r="J74"/>
  <c r="P18" i="2"/>
  <c r="AW4" i="3"/>
  <c r="AV4"/>
  <c r="AB94" i="2"/>
  <c r="P94"/>
  <c r="P99"/>
  <c r="S15"/>
  <c r="V15"/>
  <c r="Y15"/>
  <c r="E35"/>
  <c r="G13" i="3"/>
  <c r="E92"/>
  <c r="AT4"/>
  <c r="AF4"/>
  <c r="N4"/>
  <c r="E33"/>
  <c r="O4"/>
  <c r="G138" i="1"/>
  <c r="I54"/>
  <c r="AI103" i="3"/>
  <c r="AK5"/>
  <c r="AK116"/>
  <c r="AI116" s="1"/>
  <c r="AG4"/>
  <c r="T103"/>
  <c r="Y4"/>
  <c r="AH4"/>
  <c r="T116"/>
  <c r="W136"/>
  <c r="M152"/>
  <c r="M136" s="1"/>
  <c r="G116"/>
  <c r="E116" s="1"/>
  <c r="G152"/>
  <c r="E152" s="1"/>
  <c r="E179"/>
  <c r="AB154" i="2"/>
  <c r="AB138" s="1"/>
  <c r="AB7"/>
  <c r="R105"/>
  <c r="P105" s="1"/>
  <c r="E181"/>
  <c r="F154"/>
  <c r="F138" s="1"/>
  <c r="M154"/>
  <c r="J154"/>
  <c r="G154"/>
  <c r="E160"/>
  <c r="N154"/>
  <c r="N138" s="1"/>
  <c r="K154"/>
  <c r="K138" s="1"/>
  <c r="H154"/>
  <c r="H138" s="1"/>
  <c r="E130"/>
  <c r="M118"/>
  <c r="J118"/>
  <c r="G118"/>
  <c r="O118"/>
  <c r="L118"/>
  <c r="I118"/>
  <c r="N15"/>
  <c r="K15"/>
  <c r="H15"/>
  <c r="O154"/>
  <c r="O138" s="1"/>
  <c r="L154"/>
  <c r="L138" s="1"/>
  <c r="I154"/>
  <c r="I138" s="1"/>
  <c r="M138"/>
  <c r="J138"/>
  <c r="G138"/>
  <c r="O105"/>
  <c r="L105"/>
  <c r="I105"/>
  <c r="M105"/>
  <c r="J105"/>
  <c r="G105"/>
  <c r="N105"/>
  <c r="K105"/>
  <c r="H105"/>
  <c r="M15"/>
  <c r="J15"/>
  <c r="G15"/>
  <c r="M7"/>
  <c r="J7"/>
  <c r="G7"/>
  <c r="F7"/>
  <c r="F15"/>
  <c r="F105"/>
  <c r="E46" i="1"/>
  <c r="D46" s="1"/>
  <c r="J220"/>
  <c r="J133"/>
  <c r="D150"/>
  <c r="D220"/>
  <c r="D212"/>
  <c r="D199"/>
  <c r="K54"/>
  <c r="L54"/>
  <c r="J158"/>
  <c r="C21" i="4" s="1"/>
  <c r="J199" i="1"/>
  <c r="C18" i="4" s="1"/>
  <c r="G158" i="1"/>
  <c r="I144"/>
  <c r="G150"/>
  <c r="G57"/>
  <c r="G51"/>
  <c r="J212"/>
  <c r="L193"/>
  <c r="L177" s="1"/>
  <c r="J150"/>
  <c r="J57"/>
  <c r="J5"/>
  <c r="K193"/>
  <c r="J178"/>
  <c r="K144"/>
  <c r="J144" s="1"/>
  <c r="I193"/>
  <c r="I177" s="1"/>
  <c r="G145"/>
  <c r="G133"/>
  <c r="G128"/>
  <c r="G47"/>
  <c r="G5"/>
  <c r="H193"/>
  <c r="H177" s="1"/>
  <c r="G199"/>
  <c r="G178"/>
  <c r="G157"/>
  <c r="H144"/>
  <c r="G46"/>
  <c r="D178"/>
  <c r="D169"/>
  <c r="D158"/>
  <c r="E21" i="4" s="1"/>
  <c r="D145" i="1"/>
  <c r="D133"/>
  <c r="D128"/>
  <c r="D105"/>
  <c r="E10" i="4" s="1"/>
  <c r="D74" i="1"/>
  <c r="D57"/>
  <c r="D51"/>
  <c r="D47"/>
  <c r="D5"/>
  <c r="E193"/>
  <c r="D157"/>
  <c r="E144"/>
  <c r="D144" s="1"/>
  <c r="E54"/>
  <c r="E18" i="4" l="1"/>
  <c r="E5"/>
  <c r="E2"/>
  <c r="H3"/>
  <c r="E11"/>
  <c r="C19"/>
  <c r="AM4" i="3"/>
  <c r="E12" i="4"/>
  <c r="C12"/>
  <c r="E8"/>
  <c r="E9"/>
  <c r="P35" i="2"/>
  <c r="AO4" i="3"/>
  <c r="AD4"/>
  <c r="Z4"/>
  <c r="T4" s="1"/>
  <c r="AU4"/>
  <c r="J4"/>
  <c r="C8" i="4"/>
  <c r="C10"/>
  <c r="M4" i="3"/>
  <c r="AA35" i="2"/>
  <c r="C9" i="4" s="1"/>
  <c r="J193" i="1"/>
  <c r="E5" i="3"/>
  <c r="E13"/>
  <c r="V6" i="2"/>
  <c r="D54" i="1"/>
  <c r="G74"/>
  <c r="J157"/>
  <c r="F45"/>
  <c r="P154" i="2"/>
  <c r="AJ6"/>
  <c r="T6"/>
  <c r="S6"/>
  <c r="AH6"/>
  <c r="W6"/>
  <c r="P118"/>
  <c r="Z6"/>
  <c r="AE6"/>
  <c r="P138"/>
  <c r="AC6"/>
  <c r="X6"/>
  <c r="U6"/>
  <c r="AG6"/>
  <c r="Y6"/>
  <c r="AA118"/>
  <c r="D193" i="1"/>
  <c r="AA138" i="2"/>
  <c r="AD6"/>
  <c r="AI6"/>
  <c r="Q15"/>
  <c r="Q6" s="1"/>
  <c r="W4" i="3"/>
  <c r="O6" i="2"/>
  <c r="I6"/>
  <c r="N6"/>
  <c r="AF15"/>
  <c r="AF6" s="1"/>
  <c r="AB15"/>
  <c r="AA94"/>
  <c r="AI13" i="3"/>
  <c r="T13"/>
  <c r="G54" i="1"/>
  <c r="T5" i="3"/>
  <c r="G136"/>
  <c r="AA154" i="2"/>
  <c r="AA7"/>
  <c r="R6"/>
  <c r="E154"/>
  <c r="E138"/>
  <c r="M6"/>
  <c r="E118"/>
  <c r="E105"/>
  <c r="K6"/>
  <c r="H6"/>
  <c r="E15"/>
  <c r="E7"/>
  <c r="L6"/>
  <c r="J6"/>
  <c r="G6"/>
  <c r="F6"/>
  <c r="L45" i="1"/>
  <c r="G144"/>
  <c r="I45"/>
  <c r="J54"/>
  <c r="G193"/>
  <c r="H45"/>
  <c r="K177"/>
  <c r="J177" s="1"/>
  <c r="G177"/>
  <c r="E177"/>
  <c r="D177" s="1"/>
  <c r="AI4" i="3" l="1"/>
  <c r="G4"/>
  <c r="E136"/>
  <c r="E25" i="4"/>
  <c r="E4" i="3"/>
  <c r="C25" i="4"/>
  <c r="P15" i="2"/>
  <c r="P6"/>
  <c r="E6"/>
  <c r="AA15"/>
  <c r="AB6"/>
  <c r="AA6" s="1"/>
  <c r="G45" i="1"/>
  <c r="E45"/>
  <c r="K45"/>
  <c r="J222" s="1"/>
  <c r="AA183" i="2" l="1"/>
  <c r="J45" i="1"/>
  <c r="B182" i="3"/>
  <c r="D45" i="1"/>
  <c r="H25" i="4" s="1"/>
  <c r="H27" s="1"/>
  <c r="H23" l="1"/>
</calcChain>
</file>

<file path=xl/sharedStrings.xml><?xml version="1.0" encoding="utf-8"?>
<sst xmlns="http://schemas.openxmlformats.org/spreadsheetml/2006/main" count="489" uniqueCount="239">
  <si>
    <t xml:space="preserve">Получено </t>
  </si>
  <si>
    <t>Израсходовано</t>
  </si>
  <si>
    <t>Всего</t>
  </si>
  <si>
    <t>Поступления от оказания муниципальными учреждением (подразделением) услуг (выполнения работ) , предоставление которых для физических и юридических лиц осуществляется на платной основе</t>
  </si>
  <si>
    <t>Поступления от иной приносящей доход деятельности, всего:</t>
  </si>
  <si>
    <t>АРЕНДА</t>
  </si>
  <si>
    <t>Доходы , всего</t>
  </si>
  <si>
    <t>в т.ч.</t>
  </si>
  <si>
    <t>Платные доп. образ. услуги (кружки)</t>
  </si>
  <si>
    <t>Пришкольный лагерь</t>
  </si>
  <si>
    <t>прочие поступления</t>
  </si>
  <si>
    <t>Спонсорские средства</t>
  </si>
  <si>
    <t xml:space="preserve">Возмещение коммунальных услуги </t>
  </si>
  <si>
    <t>Код аналитического показателя</t>
  </si>
  <si>
    <t>Статья</t>
  </si>
  <si>
    <t>Подстатья</t>
  </si>
  <si>
    <t>Всего на 2019 год</t>
  </si>
  <si>
    <t>Оплата  труда, начисления на выплаты по оплате труда</t>
  </si>
  <si>
    <t>Заработная плата</t>
  </si>
  <si>
    <t>из них На оплату труда пед.работников</t>
  </si>
  <si>
    <t>Прочие несоциальные выплаты персоналу в денежной форме_x000D_ (суточные в служебных командировках)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</si>
  <si>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</si>
  <si>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</si>
  <si>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</si>
  <si>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</si>
  <si>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</si>
  <si>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ТТК отопление</t>
  </si>
  <si>
    <t>ТТК компонент "тепловая энергия"</t>
  </si>
  <si>
    <t>ТТК компонент "холодная вода"</t>
  </si>
  <si>
    <t>Квадра отопление</t>
  </si>
  <si>
    <t>"квадра" тепл.энерг.</t>
  </si>
  <si>
    <t>"квадра" компонент холодная вода</t>
  </si>
  <si>
    <t>Вода ОАО "ТКС" водоотведение</t>
  </si>
  <si>
    <t>ТТС отопление</t>
  </si>
  <si>
    <t>ТТС тепл энергия</t>
  </si>
  <si>
    <t>ТТС хвс</t>
  </si>
  <si>
    <t>Расходы, услуги по содержанию имущества, всего</t>
  </si>
  <si>
    <t>Текущий ремонт оборудования</t>
  </si>
  <si>
    <t xml:space="preserve">Техобслуживание оборудования школьных столовых </t>
  </si>
  <si>
    <t>вывоз мусора</t>
  </si>
  <si>
    <t>дератизация</t>
  </si>
  <si>
    <t>аварийные работы</t>
  </si>
  <si>
    <t>противопожарные мероприятия</t>
  </si>
  <si>
    <t>из них  Электроизмерительные работы, замер сопротивления изоляции</t>
  </si>
  <si>
    <t xml:space="preserve">          перезарядка огнетушителей</t>
  </si>
  <si>
    <t xml:space="preserve">          огнезащитная обработка конструкций</t>
  </si>
  <si>
    <t xml:space="preserve">         испытание пожарных кранов (лестница)</t>
  </si>
  <si>
    <t xml:space="preserve"> Техобслуживание и ремонт АПС (пожарная сигнализация)</t>
  </si>
  <si>
    <t>тех.обсл.передачи извещения о пожаре</t>
  </si>
  <si>
    <t>тех.обслуживание видеонаблюдения</t>
  </si>
  <si>
    <t>тех обслуживание средств охраны(тревожная кнопка)</t>
  </si>
  <si>
    <t>техобслуживание и проверка счетчиков</t>
  </si>
  <si>
    <t>техосмотр автомобиля</t>
  </si>
  <si>
    <t>заправка катриджей</t>
  </si>
  <si>
    <t>текущий ремонт здания</t>
  </si>
  <si>
    <t>Прочие работы, услуги , всего</t>
  </si>
  <si>
    <t>расходы на оплату услуг по организации питания</t>
  </si>
  <si>
    <t>медосмотр</t>
  </si>
  <si>
    <t>разработка проектной  и сметной документации для объектов нефинансовых активов</t>
  </si>
  <si>
    <t>подписка на периодические издания</t>
  </si>
  <si>
    <t>программное обеспечение</t>
  </si>
  <si>
    <t>оформление тех документации</t>
  </si>
  <si>
    <t>охрана</t>
  </si>
  <si>
    <t>курсы повышения квалиф.</t>
  </si>
  <si>
    <t>дистанционное обучение</t>
  </si>
  <si>
    <t>профробы</t>
  </si>
  <si>
    <t>семейное обучение</t>
  </si>
  <si>
    <t>др. расходы (расшифровка)</t>
  </si>
  <si>
    <t xml:space="preserve">Страхование </t>
  </si>
  <si>
    <t>автострахование</t>
  </si>
  <si>
    <t>Услуги, работы для целей капитальных вложений</t>
  </si>
  <si>
    <t>Монтаж эл.счетчиков и сч. отпления</t>
  </si>
  <si>
    <t>из них  Монтаж охранно-пожарной сигнализации</t>
  </si>
  <si>
    <t xml:space="preserve">           Монтаж СОУЭ (адресное оповещение о пож)</t>
  </si>
  <si>
    <t xml:space="preserve">           Монтаж систем видеонаблюдения</t>
  </si>
  <si>
    <t xml:space="preserve">           Монтаж пожарной лестницы</t>
  </si>
  <si>
    <t xml:space="preserve">           Монтаж уличного освещения</t>
  </si>
  <si>
    <t>Социальное обеспечение</t>
  </si>
  <si>
    <t>Пособия по социальной помощи населению в денежной форме</t>
  </si>
  <si>
    <t>Социальные пособия и компенсации персоналу в денежной форме</t>
  </si>
  <si>
    <t>пособий за первые три дня временной нетрудоспособности за счет средств работодателя, в случае заболевания работника или полученной им травмы</t>
  </si>
  <si>
    <t>ежемесячные компенсационные выплаты в размере 50 рублей персоналу, находящемуся в отпуске по уходу за ребенком до достижения им возраста 3 лет</t>
  </si>
  <si>
    <t>выходное пообие и пособие на период трудоустройства в случае организационно-штатных мероприятий, приводящих к сокращению численности или штата учреждения</t>
  </si>
  <si>
    <t>Прочие расходы</t>
  </si>
  <si>
    <t>Налоги, пошлины и сборы</t>
  </si>
  <si>
    <t>экологические платежи</t>
  </si>
  <si>
    <t>Транспортный налог</t>
  </si>
  <si>
    <t>Налог на имущество</t>
  </si>
  <si>
    <t>земельный налог</t>
  </si>
  <si>
    <t>Госпошлины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</si>
  <si>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</si>
  <si>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</si>
  <si>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Иные выплаты текущего характера физическим лицам</t>
  </si>
  <si>
    <t>выплаты бывшим работникам государственных (муниципальных) учреждений к памятным датам, профессиональным праздникам и тому подобное</t>
  </si>
  <si>
    <t>стипендии</t>
  </si>
  <si>
    <t>Иные выплаты текущего характера организациям</t>
  </si>
  <si>
    <t>Поступление нефинансовых активов</t>
  </si>
  <si>
    <t>Увеличение стоимости основных средств</t>
  </si>
  <si>
    <t>мебель</t>
  </si>
  <si>
    <t>Оборудование для столовой</t>
  </si>
  <si>
    <t>компьютерное оборудование</t>
  </si>
  <si>
    <t>спортивное оборудование</t>
  </si>
  <si>
    <t>оборудование для каб технологии</t>
  </si>
  <si>
    <t>учебники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</si>
  <si>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</si>
  <si>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</si>
  <si>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</si>
  <si>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</si>
  <si>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</si>
  <si>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</si>
  <si>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</si>
  <si>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</si>
  <si>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</si>
  <si>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 xml:space="preserve">Запасные (составные) части для  оборудования школьной столовой       </t>
  </si>
  <si>
    <t>Хоз товары</t>
  </si>
  <si>
    <t>Запасные (составные) части для  оргтехники, вычислительной техники</t>
  </si>
  <si>
    <t>бланочная продукция (за исключением бланков строгой отчетности)</t>
  </si>
  <si>
    <t>спортинвентарь</t>
  </si>
  <si>
    <t>канцтовары</t>
  </si>
  <si>
    <t>Увеличение стоимости прочих материальных запасов однократного применения</t>
  </si>
  <si>
    <t>приобретение (изготовление) подарочной и сувенирной продукции, не предназначенной для дальнейшей перепродажи</t>
  </si>
  <si>
    <t>приобретение (изготовление) специальной продукции (журналы);</t>
  </si>
  <si>
    <t>приобретение (изготовление) бланков строгой отчетности (аттестаты)</t>
  </si>
  <si>
    <t>приобретение бутилированной питьевой воды,</t>
  </si>
  <si>
    <t>Увеличение стоимости права 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</si>
  <si>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</si>
  <si>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Расходы, всего</t>
  </si>
  <si>
    <t>Плата за путевки  СОЛ "Салют"</t>
  </si>
  <si>
    <t>Отдых "Сосновый бор"</t>
  </si>
  <si>
    <t>Питание (лагерь)</t>
  </si>
  <si>
    <t>Добровольные пожертвования</t>
  </si>
  <si>
    <t>Субсидия бюджетным (автономным) учреждениям на финансовое обеспечение муниципального задания на оказание муниципальных услуг</t>
  </si>
  <si>
    <t>Вид Расходов</t>
  </si>
  <si>
    <t>Субсидия бюджетным (автономным) учреждениям на иные цели</t>
  </si>
  <si>
    <t xml:space="preserve">Свет ОАО "ТОСК" </t>
  </si>
  <si>
    <t>Вода ОАО "ТКС" водоснабжение</t>
  </si>
  <si>
    <t>Всего ЛИМИТЫ</t>
  </si>
  <si>
    <t>Всего ФИНАНСИРОВАНИЕ</t>
  </si>
  <si>
    <t>Всего КАССОВЫЕ</t>
  </si>
  <si>
    <t>специальная оценка труда</t>
  </si>
  <si>
    <t>приобретение бутилированной питьевой воды</t>
  </si>
  <si>
    <t>сециальная оценка труда</t>
  </si>
  <si>
    <r>
      <t xml:space="preserve">Развитие образовательных программ общего образования(обеспечение деятельности (оказание услуг,выполнение работ) муниципальных учреждений) </t>
    </r>
    <r>
      <rPr>
        <b/>
        <sz val="12"/>
        <rFont val="Times New Roman"/>
        <family val="1"/>
        <charset val="204"/>
      </rPr>
      <t>07 03 01202 81030 611</t>
    </r>
  </si>
  <si>
    <r>
      <t xml:space="preserve">Повышение оплаты труда педагогических работников образовательных организаций дополнительного образования детей в соответствии с указами Президента Российской Федерации (Расходы на оплату труда пед.работников) </t>
    </r>
    <r>
      <rPr>
        <b/>
        <sz val="12"/>
        <rFont val="Times New Roman"/>
        <family val="1"/>
        <charset val="204"/>
      </rPr>
      <t>07 03 01202 S6560 611 (область)</t>
    </r>
  </si>
  <si>
    <r>
      <t xml:space="preserve">Повышение оплаты труда педагогических работников образовательных организаций дополнительного образования детей в соответствии с указами Президента Российской Федерации (Расходы на оплату труда пед.работников) </t>
    </r>
    <r>
      <rPr>
        <b/>
        <sz val="12"/>
        <rFont val="Times New Roman"/>
        <family val="1"/>
        <charset val="204"/>
      </rPr>
      <t>07 03 01202 S6560 611 (софинансирование-город)</t>
    </r>
  </si>
  <si>
    <r>
      <t xml:space="preserve">Капитальный ремонт и ремонт объектов муниципальной собственности </t>
    </r>
    <r>
      <rPr>
        <b/>
        <sz val="12"/>
        <color theme="1"/>
        <rFont val="Times New Roman"/>
        <family val="1"/>
        <charset val="204"/>
      </rPr>
      <t>07 03 01214 88888 612</t>
    </r>
  </si>
  <si>
    <r>
      <t xml:space="preserve">Ежемесячные денежная выплата молодым специалиста муниципальных организаций дполнительного образования </t>
    </r>
    <r>
      <rPr>
        <b/>
        <sz val="12"/>
        <color theme="1"/>
        <rFont val="Times New Roman"/>
        <family val="1"/>
        <charset val="204"/>
      </rPr>
      <t>07 03 01207 S7740 612 (область)</t>
    </r>
  </si>
  <si>
    <t>Свет ТЭСК</t>
  </si>
  <si>
    <t>в т.ч. На оплату труда прочего персонала</t>
  </si>
  <si>
    <t>ремонт автомобиля</t>
  </si>
  <si>
    <t>Содержание и ремонт МКД</t>
  </si>
  <si>
    <t>Сбор на капитальный ремонт МКД</t>
  </si>
  <si>
    <t>ЧОП</t>
  </si>
  <si>
    <t>другие расходы</t>
  </si>
  <si>
    <t>в т.ч. На оплату трудапрочего персонала</t>
  </si>
  <si>
    <t>испытание пожарных кпанов (лестница), перемотка пожарных рукавов</t>
  </si>
  <si>
    <t>вывоз ТКО</t>
  </si>
  <si>
    <t xml:space="preserve">возврат КФО 4      </t>
  </si>
  <si>
    <t>Гл.бухгалтер                                                     А.Е. Назарова</t>
  </si>
  <si>
    <t>сервисное обслуживание приборов учета</t>
  </si>
  <si>
    <t xml:space="preserve">техосмотр автомобиля </t>
  </si>
  <si>
    <t>заправка картриджей</t>
  </si>
  <si>
    <t>измерительный контроль мед техники</t>
  </si>
  <si>
    <t>лицензирование, аккредитация</t>
  </si>
  <si>
    <t>зап части, хоз товары</t>
  </si>
  <si>
    <t xml:space="preserve">Отчет о выполнении плана финансово-хозяйственной деятельности </t>
  </si>
  <si>
    <t>Ежемесячные денежная выплата молодым специалиста муниципальных организаций дполнительного образования 07 03 01207 S7740 612 (город)</t>
  </si>
  <si>
    <t xml:space="preserve">возврат </t>
  </si>
  <si>
    <t>обучение, повышение квалификации</t>
  </si>
  <si>
    <t>остаток</t>
  </si>
  <si>
    <t>остаток:</t>
  </si>
  <si>
    <t>Изготовление межевого плана</t>
  </si>
  <si>
    <t>из них  На оплату прочего персонала</t>
  </si>
  <si>
    <t>ремонт техники</t>
  </si>
  <si>
    <t>выдача дубликата документов</t>
  </si>
  <si>
    <t>расходы на псд (стадион)</t>
  </si>
  <si>
    <t>налог земельный</t>
  </si>
  <si>
    <t>счетчик</t>
  </si>
  <si>
    <t>госпошлины и сборы</t>
  </si>
  <si>
    <t xml:space="preserve"> </t>
  </si>
  <si>
    <t xml:space="preserve">Запасные (составные) части </t>
  </si>
  <si>
    <t>зап части</t>
  </si>
  <si>
    <t>канц. Товары</t>
  </si>
  <si>
    <t>инженерно-геодезич</t>
  </si>
  <si>
    <t>водный налог</t>
  </si>
  <si>
    <t>пистолеты</t>
  </si>
  <si>
    <t>монтаж АПС</t>
  </si>
  <si>
    <t xml:space="preserve"> ремонт СОЛ "Салют"</t>
  </si>
  <si>
    <t>разработка ПСД, инженерные изыскания (сосн бор)</t>
  </si>
  <si>
    <t>266/211</t>
  </si>
  <si>
    <t>266/212</t>
  </si>
  <si>
    <t>853/292</t>
  </si>
  <si>
    <t>852/291</t>
  </si>
  <si>
    <t>851/291</t>
  </si>
  <si>
    <t>831/297</t>
  </si>
  <si>
    <t>ост-к</t>
  </si>
  <si>
    <t>Субсидии на организацию отдыха детей в каникулярное время 070701206S8180622</t>
  </si>
  <si>
    <t>из них: На оплату прочему персоналу</t>
  </si>
  <si>
    <t xml:space="preserve">Свет  "ТЭСК" </t>
  </si>
  <si>
    <t>Вывоз ТБО</t>
  </si>
  <si>
    <t>Дератизация</t>
  </si>
  <si>
    <t>Стирка белья</t>
  </si>
  <si>
    <t>страхование</t>
  </si>
  <si>
    <t>то приборов учета</t>
  </si>
  <si>
    <t>то извещ о пожаре</t>
  </si>
  <si>
    <t>трансформатор тока</t>
  </si>
  <si>
    <t>диагностика</t>
  </si>
  <si>
    <t xml:space="preserve">лицензия </t>
  </si>
  <si>
    <t>спорт инвентарь</t>
  </si>
  <si>
    <t>калькулятор</t>
  </si>
  <si>
    <t>дозатор</t>
  </si>
  <si>
    <t>Гл.бухгалтер                                                     А. Е. Назарова</t>
  </si>
  <si>
    <t>захоронение отходов</t>
  </si>
  <si>
    <t>Субсидии на организацию отдыха детей в каникулярное время 070701206S8180622 (область)</t>
  </si>
  <si>
    <t>Субсидии на организацию отдыха детей в каникулярное время 070701206S8180622 (город)</t>
  </si>
  <si>
    <t>др. расходы (гпд)</t>
  </si>
  <si>
    <t>ТО пищеблока,ремонт пищеблока</t>
  </si>
  <si>
    <t>ремонт системы э\снабжения</t>
  </si>
  <si>
    <t>водоумягчитель</t>
  </si>
  <si>
    <t>Вывоз ЖБО</t>
  </si>
  <si>
    <t>столешница,подстолье</t>
  </si>
  <si>
    <t>инструмент</t>
  </si>
  <si>
    <t>премия им. Коваля</t>
  </si>
  <si>
    <t>сдача металоллома, АКБ</t>
  </si>
  <si>
    <t>Неиспользованный остаток на 01.01.2020 г.</t>
  </si>
  <si>
    <t>ремонт душевых в сол салют, ремонт столовой</t>
  </si>
  <si>
    <t>в/камера</t>
  </si>
  <si>
    <t>монтаж в/камеры</t>
  </si>
  <si>
    <t>ГПД</t>
  </si>
  <si>
    <t>мед. оборудование</t>
  </si>
  <si>
    <t>осмотр автомобиля,ремонт,ТО</t>
  </si>
  <si>
    <t>плиткорез</t>
  </si>
  <si>
    <t>(211 - 14,63355, 213 - 6,12486,  344 - 53,325, 226 - 275,04934)</t>
  </si>
  <si>
    <t>возврат-  76000,00 (38000,00+38000)</t>
  </si>
  <si>
    <t>Отчет о выполнении плана финансово-хозяйственной деятельности МАУ ДО "ДЮСШ №1"  на   31.12.2020</t>
  </si>
  <si>
    <t>жалюзи, пылесос</t>
  </si>
  <si>
    <t>853/291</t>
  </si>
  <si>
    <t>350/296</t>
  </si>
  <si>
    <t>0 703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</si>
</sst>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0_ ;[Red]\-0.00000\ "/>
    <numFmt numFmtId="166" formatCode="#,##0.00000"/>
  </numFmts>
  <fonts count="3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b/>
      <i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1" fillId="0" borderId="2" xfId="0" applyFont="1" applyFill="1" applyBorder="1" applyAlignment="1" applyProtection="1">
      <alignment horizontal="left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Protection="1"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horizontal="left" wrapText="1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left" wrapText="1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wrapText="1"/>
      <protection locked="0"/>
    </xf>
    <xf numFmtId="0" fontId="7" fillId="0" borderId="2" xfId="0" applyFont="1" applyFill="1" applyBorder="1" applyProtection="1"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" fillId="0" borderId="2" xfId="0" applyFont="1" applyFill="1" applyBorder="1" applyProtection="1"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left" wrapText="1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0" fontId="15" fillId="0" borderId="2" xfId="0" applyFont="1" applyFill="1" applyBorder="1" applyAlignment="1" applyProtection="1">
      <alignment horizontal="left" wrapText="1"/>
      <protection locked="0"/>
    </xf>
    <xf numFmtId="0" fontId="16" fillId="0" borderId="7" xfId="0" applyFont="1" applyFill="1" applyBorder="1" applyAlignment="1" applyProtection="1">
      <alignment wrapText="1"/>
      <protection locked="0"/>
    </xf>
    <xf numFmtId="0" fontId="16" fillId="0" borderId="1" xfId="0" applyFont="1" applyFill="1" applyBorder="1" applyProtection="1">
      <protection locked="0"/>
    </xf>
    <xf numFmtId="0" fontId="15" fillId="0" borderId="1" xfId="0" applyFont="1" applyFill="1" applyBorder="1" applyProtection="1">
      <protection locked="0"/>
    </xf>
    <xf numFmtId="0" fontId="16" fillId="0" borderId="2" xfId="0" applyFont="1" applyFill="1" applyBorder="1" applyProtection="1">
      <protection locked="0"/>
    </xf>
    <xf numFmtId="0" fontId="16" fillId="0" borderId="2" xfId="0" applyFont="1" applyFill="1" applyBorder="1" applyAlignment="1" applyProtection="1">
      <alignment wrapText="1"/>
      <protection locked="0"/>
    </xf>
    <xf numFmtId="0" fontId="16" fillId="0" borderId="8" xfId="0" applyFont="1" applyFill="1" applyBorder="1" applyAlignment="1" applyProtection="1">
      <alignment horizontal="center" wrapText="1"/>
      <protection locked="0"/>
    </xf>
    <xf numFmtId="0" fontId="16" fillId="0" borderId="2" xfId="0" applyFont="1" applyFill="1" applyBorder="1" applyAlignment="1" applyProtection="1">
      <alignment horizontal="left" wrapText="1"/>
      <protection locked="0"/>
    </xf>
    <xf numFmtId="0" fontId="16" fillId="0" borderId="2" xfId="0" applyFont="1" applyFill="1" applyBorder="1" applyAlignment="1" applyProtection="1">
      <alignment vertical="center" wrapText="1"/>
      <protection locked="0"/>
    </xf>
    <xf numFmtId="0" fontId="15" fillId="0" borderId="2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vertical="top"/>
      <protection locked="0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15" fillId="0" borderId="2" xfId="0" applyFont="1" applyFill="1" applyBorder="1" applyAlignment="1" applyProtection="1">
      <alignment vertical="top" wrapText="1"/>
      <protection locked="0"/>
    </xf>
    <xf numFmtId="0" fontId="16" fillId="0" borderId="7" xfId="0" applyFont="1" applyFill="1" applyBorder="1" applyAlignment="1" applyProtection="1">
      <alignment vertical="top" wrapText="1"/>
      <protection locked="0"/>
    </xf>
    <xf numFmtId="0" fontId="15" fillId="0" borderId="2" xfId="0" applyFont="1" applyFill="1" applyBorder="1" applyAlignment="1" applyProtection="1">
      <alignment vertical="top"/>
      <protection locked="0"/>
    </xf>
    <xf numFmtId="0" fontId="16" fillId="0" borderId="1" xfId="0" applyFont="1" applyFill="1" applyBorder="1" applyAlignment="1" applyProtection="1">
      <alignment vertical="top"/>
      <protection locked="0"/>
    </xf>
    <xf numFmtId="0" fontId="15" fillId="0" borderId="1" xfId="0" applyFont="1" applyFill="1" applyBorder="1" applyAlignment="1" applyProtection="1">
      <alignment vertical="top"/>
      <protection locked="0"/>
    </xf>
    <xf numFmtId="0" fontId="16" fillId="0" borderId="2" xfId="0" applyFont="1" applyFill="1" applyBorder="1" applyAlignment="1" applyProtection="1">
      <alignment vertical="top"/>
      <protection locked="0"/>
    </xf>
    <xf numFmtId="0" fontId="16" fillId="0" borderId="2" xfId="0" applyFont="1" applyFill="1" applyBorder="1" applyAlignment="1" applyProtection="1">
      <alignment vertical="top" wrapText="1"/>
      <protection locked="0"/>
    </xf>
    <xf numFmtId="0" fontId="16" fillId="0" borderId="8" xfId="0" applyFont="1" applyFill="1" applyBorder="1" applyAlignment="1" applyProtection="1">
      <alignment vertical="top" wrapText="1"/>
      <protection locked="0"/>
    </xf>
    <xf numFmtId="0" fontId="1" fillId="0" borderId="2" xfId="0" applyFont="1" applyFill="1" applyBorder="1" applyAlignment="1" applyProtection="1">
      <alignment vertical="top"/>
      <protection locked="0"/>
    </xf>
    <xf numFmtId="0" fontId="17" fillId="0" borderId="2" xfId="0" applyFont="1" applyFill="1" applyBorder="1" applyAlignment="1" applyProtection="1">
      <alignment vertical="top" wrapText="1"/>
      <protection locked="0"/>
    </xf>
    <xf numFmtId="0" fontId="17" fillId="0" borderId="2" xfId="0" applyFont="1" applyFill="1" applyBorder="1" applyAlignment="1" applyProtection="1">
      <alignment vertical="top"/>
      <protection locked="0"/>
    </xf>
    <xf numFmtId="0" fontId="15" fillId="0" borderId="0" xfId="0" applyFont="1" applyFill="1" applyProtection="1">
      <protection locked="0"/>
    </xf>
    <xf numFmtId="0" fontId="13" fillId="0" borderId="2" xfId="0" applyFont="1" applyFill="1" applyBorder="1" applyProtection="1">
      <protection locked="0"/>
    </xf>
    <xf numFmtId="0" fontId="18" fillId="0" borderId="0" xfId="0" applyFont="1" applyFill="1" applyProtection="1">
      <protection locked="0"/>
    </xf>
    <xf numFmtId="166" fontId="15" fillId="0" borderId="2" xfId="0" applyNumberFormat="1" applyFont="1" applyFill="1" applyBorder="1" applyProtection="1">
      <protection locked="0"/>
    </xf>
    <xf numFmtId="166" fontId="1" fillId="0" borderId="2" xfId="0" applyNumberFormat="1" applyFont="1" applyFill="1" applyBorder="1" applyAlignment="1" applyProtection="1">
      <alignment horizontal="center"/>
      <protection locked="0"/>
    </xf>
    <xf numFmtId="166" fontId="1" fillId="0" borderId="2" xfId="0" applyNumberFormat="1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166" fontId="15" fillId="0" borderId="2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wrapText="1"/>
      <protection locked="0"/>
    </xf>
    <xf numFmtId="166" fontId="13" fillId="0" borderId="2" xfId="0" applyNumberFormat="1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19" fillId="0" borderId="11" xfId="0" applyFont="1" applyFill="1" applyBorder="1" applyAlignment="1" applyProtection="1">
      <alignment horizontal="left" wrapText="1"/>
      <protection locked="0"/>
    </xf>
    <xf numFmtId="0" fontId="19" fillId="0" borderId="0" xfId="0" applyFont="1" applyFill="1" applyProtection="1">
      <protection locked="0"/>
    </xf>
    <xf numFmtId="166" fontId="19" fillId="0" borderId="11" xfId="0" applyNumberFormat="1" applyFont="1" applyFill="1" applyBorder="1" applyAlignment="1" applyProtection="1">
      <alignment horizontal="center" vertical="center" wrapText="1"/>
    </xf>
    <xf numFmtId="166" fontId="13" fillId="0" borderId="2" xfId="0" applyNumberFormat="1" applyFont="1" applyFill="1" applyBorder="1" applyAlignment="1" applyProtection="1">
      <alignment horizontal="center"/>
    </xf>
    <xf numFmtId="166" fontId="1" fillId="0" borderId="2" xfId="0" applyNumberFormat="1" applyFont="1" applyFill="1" applyBorder="1" applyProtection="1"/>
    <xf numFmtId="0" fontId="1" fillId="0" borderId="2" xfId="0" applyFont="1" applyFill="1" applyBorder="1" applyAlignment="1" applyProtection="1">
      <alignment horizontal="left" wrapText="1"/>
    </xf>
    <xf numFmtId="0" fontId="1" fillId="0" borderId="2" xfId="0" applyFont="1" applyFill="1" applyBorder="1" applyProtection="1"/>
    <xf numFmtId="0" fontId="15" fillId="0" borderId="2" xfId="0" applyFont="1" applyFill="1" applyBorder="1" applyAlignment="1" applyProtection="1">
      <alignment horizontal="left" wrapText="1"/>
    </xf>
    <xf numFmtId="0" fontId="15" fillId="0" borderId="2" xfId="0" applyFont="1" applyFill="1" applyBorder="1" applyProtection="1"/>
    <xf numFmtId="0" fontId="13" fillId="0" borderId="2" xfId="0" applyFont="1" applyFill="1" applyBorder="1" applyAlignment="1" applyProtection="1">
      <alignment horizontal="left" wrapText="1"/>
    </xf>
    <xf numFmtId="0" fontId="13" fillId="0" borderId="2" xfId="0" applyFont="1" applyFill="1" applyBorder="1" applyProtection="1"/>
    <xf numFmtId="0" fontId="18" fillId="0" borderId="2" xfId="0" applyFont="1" applyFill="1" applyBorder="1" applyProtection="1"/>
    <xf numFmtId="0" fontId="15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wrapText="1"/>
    </xf>
    <xf numFmtId="0" fontId="16" fillId="0" borderId="2" xfId="0" applyFont="1" applyFill="1" applyBorder="1" applyProtection="1"/>
    <xf numFmtId="0" fontId="16" fillId="0" borderId="2" xfId="0" applyFont="1" applyFill="1" applyBorder="1" applyAlignment="1" applyProtection="1">
      <alignment wrapText="1"/>
    </xf>
    <xf numFmtId="0" fontId="16" fillId="0" borderId="2" xfId="0" applyFont="1" applyFill="1" applyBorder="1" applyAlignment="1" applyProtection="1">
      <alignment horizontal="left" wrapText="1"/>
    </xf>
    <xf numFmtId="0" fontId="16" fillId="0" borderId="2" xfId="0" applyFont="1" applyFill="1" applyBorder="1" applyAlignment="1" applyProtection="1">
      <alignment vertical="center" wrapText="1"/>
    </xf>
    <xf numFmtId="0" fontId="15" fillId="0" borderId="2" xfId="0" applyFont="1" applyFill="1" applyBorder="1" applyAlignment="1" applyProtection="1">
      <alignment wrapText="1"/>
    </xf>
    <xf numFmtId="0" fontId="15" fillId="0" borderId="2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wrapText="1"/>
    </xf>
    <xf numFmtId="0" fontId="19" fillId="0" borderId="11" xfId="0" applyFont="1" applyFill="1" applyBorder="1" applyAlignment="1" applyProtection="1">
      <alignment horizont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166" fontId="13" fillId="0" borderId="2" xfId="0" applyNumberFormat="1" applyFont="1" applyFill="1" applyBorder="1" applyProtection="1"/>
    <xf numFmtId="0" fontId="13" fillId="0" borderId="2" xfId="0" applyFont="1" applyFill="1" applyBorder="1" applyAlignment="1" applyProtection="1">
      <alignment vertical="top" wrapText="1"/>
      <protection locked="0"/>
    </xf>
    <xf numFmtId="0" fontId="21" fillId="0" borderId="0" xfId="0" applyFont="1" applyAlignment="1" applyProtection="1">
      <alignment vertical="top"/>
      <protection locked="0"/>
    </xf>
    <xf numFmtId="0" fontId="22" fillId="0" borderId="11" xfId="0" applyFont="1" applyFill="1" applyBorder="1" applyAlignment="1" applyProtection="1">
      <alignment horizontal="left" wrapText="1"/>
      <protection locked="0"/>
    </xf>
    <xf numFmtId="0" fontId="22" fillId="0" borderId="11" xfId="0" applyFont="1" applyFill="1" applyBorder="1" applyAlignment="1" applyProtection="1">
      <alignment horizontal="center" wrapText="1"/>
      <protection locked="0"/>
    </xf>
    <xf numFmtId="0" fontId="23" fillId="0" borderId="0" xfId="0" applyFont="1" applyAlignment="1" applyProtection="1">
      <alignment vertical="top"/>
      <protection locked="0"/>
    </xf>
    <xf numFmtId="0" fontId="20" fillId="0" borderId="0" xfId="0" applyFont="1" applyAlignment="1" applyProtection="1">
      <alignment vertical="top"/>
      <protection locked="0"/>
    </xf>
    <xf numFmtId="0" fontId="24" fillId="0" borderId="0" xfId="0" applyFont="1" applyAlignment="1" applyProtection="1">
      <alignment vertical="top"/>
      <protection locked="0"/>
    </xf>
    <xf numFmtId="0" fontId="13" fillId="0" borderId="2" xfId="0" applyFont="1" applyFill="1" applyBorder="1" applyAlignment="1" applyProtection="1">
      <alignment vertical="top"/>
      <protection locked="0"/>
    </xf>
    <xf numFmtId="166" fontId="11" fillId="0" borderId="2" xfId="0" applyNumberFormat="1" applyFont="1" applyFill="1" applyBorder="1" applyAlignment="1" applyProtection="1">
      <alignment vertical="top"/>
      <protection locked="0"/>
    </xf>
    <xf numFmtId="166" fontId="9" fillId="0" borderId="2" xfId="0" applyNumberFormat="1" applyFont="1" applyFill="1" applyBorder="1" applyAlignment="1" applyProtection="1">
      <alignment vertical="top"/>
      <protection locked="0"/>
    </xf>
    <xf numFmtId="166" fontId="14" fillId="0" borderId="2" xfId="0" applyNumberFormat="1" applyFont="1" applyFill="1" applyBorder="1" applyAlignment="1" applyProtection="1">
      <alignment vertical="top"/>
      <protection locked="0"/>
    </xf>
    <xf numFmtId="166" fontId="22" fillId="0" borderId="11" xfId="0" applyNumberFormat="1" applyFont="1" applyFill="1" applyBorder="1" applyAlignment="1" applyProtection="1">
      <alignment horizontal="center" vertical="center" wrapText="1"/>
    </xf>
    <xf numFmtId="166" fontId="11" fillId="0" borderId="2" xfId="0" applyNumberFormat="1" applyFont="1" applyFill="1" applyBorder="1" applyAlignment="1" applyProtection="1">
      <alignment vertical="top"/>
    </xf>
    <xf numFmtId="166" fontId="9" fillId="0" borderId="2" xfId="0" applyNumberFormat="1" applyFont="1" applyFill="1" applyBorder="1" applyAlignment="1" applyProtection="1">
      <alignment vertical="top"/>
    </xf>
    <xf numFmtId="0" fontId="11" fillId="0" borderId="2" xfId="0" applyFont="1" applyFill="1" applyBorder="1" applyAlignment="1" applyProtection="1">
      <alignment vertical="top"/>
    </xf>
    <xf numFmtId="0" fontId="12" fillId="0" borderId="2" xfId="0" applyFont="1" applyFill="1" applyBorder="1" applyAlignment="1" applyProtection="1">
      <alignment vertical="top"/>
    </xf>
    <xf numFmtId="0" fontId="9" fillId="0" borderId="2" xfId="0" applyFont="1" applyFill="1" applyBorder="1" applyAlignment="1" applyProtection="1">
      <alignment vertical="top"/>
    </xf>
    <xf numFmtId="0" fontId="14" fillId="0" borderId="2" xfId="0" applyFont="1" applyFill="1" applyBorder="1" applyAlignment="1" applyProtection="1">
      <alignment vertical="top"/>
    </xf>
    <xf numFmtId="0" fontId="14" fillId="0" borderId="2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25" fillId="0" borderId="2" xfId="0" applyFont="1" applyFill="1" applyBorder="1" applyAlignment="1" applyProtection="1">
      <alignment horizontal="center"/>
      <protection locked="0"/>
    </xf>
    <xf numFmtId="0" fontId="27" fillId="0" borderId="0" xfId="0" applyFont="1" applyProtection="1">
      <protection locked="0"/>
    </xf>
    <xf numFmtId="0" fontId="6" fillId="0" borderId="2" xfId="0" applyFont="1" applyFill="1" applyBorder="1" applyProtection="1">
      <protection locked="0"/>
    </xf>
    <xf numFmtId="0" fontId="28" fillId="0" borderId="2" xfId="0" applyFont="1" applyFill="1" applyBorder="1" applyProtection="1"/>
    <xf numFmtId="0" fontId="28" fillId="0" borderId="2" xfId="0" applyFont="1" applyFill="1" applyBorder="1" applyAlignment="1" applyProtection="1">
      <alignment vertical="top"/>
      <protection locked="0"/>
    </xf>
    <xf numFmtId="0" fontId="29" fillId="0" borderId="2" xfId="0" applyFont="1" applyFill="1" applyBorder="1" applyAlignment="1" applyProtection="1">
      <alignment vertical="top"/>
    </xf>
    <xf numFmtId="0" fontId="30" fillId="0" borderId="0" xfId="0" applyFont="1" applyAlignment="1" applyProtection="1">
      <alignment vertical="top"/>
      <protection locked="0"/>
    </xf>
    <xf numFmtId="166" fontId="29" fillId="0" borderId="2" xfId="0" applyNumberFormat="1" applyFont="1" applyFill="1" applyBorder="1" applyAlignment="1" applyProtection="1">
      <alignment vertical="top"/>
    </xf>
    <xf numFmtId="0" fontId="28" fillId="0" borderId="2" xfId="0" applyFont="1" applyFill="1" applyBorder="1" applyAlignment="1" applyProtection="1">
      <alignment vertical="top"/>
    </xf>
    <xf numFmtId="0" fontId="16" fillId="0" borderId="2" xfId="0" applyFont="1" applyFill="1" applyBorder="1" applyAlignment="1" applyProtection="1">
      <alignment vertical="top"/>
    </xf>
    <xf numFmtId="0" fontId="16" fillId="0" borderId="8" xfId="0" applyFont="1" applyFill="1" applyBorder="1" applyAlignment="1" applyProtection="1">
      <alignment vertical="top" wrapText="1"/>
    </xf>
    <xf numFmtId="0" fontId="16" fillId="0" borderId="7" xfId="0" applyFont="1" applyFill="1" applyBorder="1" applyAlignment="1" applyProtection="1">
      <alignment vertical="top"/>
    </xf>
    <xf numFmtId="0" fontId="16" fillId="0" borderId="8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16" fillId="0" borderId="8" xfId="0" applyFont="1" applyFill="1" applyBorder="1" applyAlignment="1" applyProtection="1">
      <alignment horizontal="center" wrapText="1"/>
    </xf>
    <xf numFmtId="0" fontId="16" fillId="0" borderId="7" xfId="0" applyFont="1" applyFill="1" applyBorder="1" applyAlignment="1" applyProtection="1">
      <alignment horizontal="center"/>
    </xf>
    <xf numFmtId="0" fontId="16" fillId="0" borderId="8" xfId="0" applyFont="1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horizontal="center" wrapText="1"/>
    </xf>
    <xf numFmtId="0" fontId="10" fillId="0" borderId="2" xfId="0" applyFont="1" applyFill="1" applyBorder="1" applyAlignment="1" applyProtection="1">
      <alignment horizontal="left" wrapText="1"/>
      <protection locked="0"/>
    </xf>
    <xf numFmtId="0" fontId="31" fillId="0" borderId="0" xfId="0" applyFont="1" applyProtection="1"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Protection="1">
      <protection locked="0"/>
    </xf>
    <xf numFmtId="166" fontId="28" fillId="0" borderId="2" xfId="0" applyNumberFormat="1" applyFont="1" applyFill="1" applyBorder="1" applyProtection="1"/>
    <xf numFmtId="0" fontId="28" fillId="0" borderId="0" xfId="0" applyFont="1" applyFill="1" applyProtection="1">
      <protection locked="0"/>
    </xf>
    <xf numFmtId="166" fontId="32" fillId="0" borderId="2" xfId="0" applyNumberFormat="1" applyFont="1" applyFill="1" applyBorder="1" applyProtection="1">
      <protection locked="0"/>
    </xf>
    <xf numFmtId="164" fontId="26" fillId="2" borderId="2" xfId="0" applyNumberFormat="1" applyFont="1" applyFill="1" applyBorder="1" applyAlignment="1" applyProtection="1">
      <alignment horizontal="center"/>
    </xf>
    <xf numFmtId="164" fontId="7" fillId="2" borderId="2" xfId="0" applyNumberFormat="1" applyFont="1" applyFill="1" applyBorder="1" applyAlignment="1" applyProtection="1">
      <alignment horizontal="center"/>
      <protection locked="0"/>
    </xf>
    <xf numFmtId="164" fontId="9" fillId="2" borderId="2" xfId="0" applyNumberFormat="1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  <protection locked="0"/>
    </xf>
    <xf numFmtId="164" fontId="25" fillId="2" borderId="2" xfId="0" applyNumberFormat="1" applyFont="1" applyFill="1" applyBorder="1" applyAlignment="1" applyProtection="1">
      <alignment horizontal="center"/>
    </xf>
    <xf numFmtId="164" fontId="9" fillId="2" borderId="2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 applyProtection="1">
      <alignment vertical="center"/>
    </xf>
    <xf numFmtId="0" fontId="15" fillId="0" borderId="11" xfId="0" applyFont="1" applyFill="1" applyBorder="1" applyAlignment="1" applyProtection="1">
      <alignment vertical="center"/>
    </xf>
    <xf numFmtId="164" fontId="7" fillId="0" borderId="2" xfId="0" applyNumberFormat="1" applyFont="1" applyFill="1" applyBorder="1" applyAlignment="1" applyProtection="1">
      <alignment horizontal="center"/>
      <protection locked="0"/>
    </xf>
    <xf numFmtId="164" fontId="26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164" fontId="8" fillId="0" borderId="2" xfId="0" applyNumberFormat="1" applyFont="1" applyFill="1" applyBorder="1" applyAlignment="1" applyProtection="1">
      <alignment horizontal="center"/>
    </xf>
    <xf numFmtId="164" fontId="8" fillId="0" borderId="2" xfId="0" applyNumberFormat="1" applyFont="1" applyFill="1" applyBorder="1" applyAlignment="1" applyProtection="1">
      <alignment horizontal="center"/>
      <protection locked="0"/>
    </xf>
    <xf numFmtId="164" fontId="5" fillId="0" borderId="2" xfId="0" applyNumberFormat="1" applyFont="1" applyFill="1" applyBorder="1" applyAlignment="1" applyProtection="1">
      <alignment horizontal="center"/>
      <protection locked="0"/>
    </xf>
    <xf numFmtId="164" fontId="5" fillId="0" borderId="2" xfId="0" applyNumberFormat="1" applyFont="1" applyFill="1" applyBorder="1" applyAlignment="1" applyProtection="1">
      <alignment horizontal="center"/>
    </xf>
    <xf numFmtId="164" fontId="25" fillId="0" borderId="2" xfId="0" applyNumberFormat="1" applyFont="1" applyFill="1" applyBorder="1" applyAlignment="1" applyProtection="1">
      <alignment horizontal="center"/>
    </xf>
    <xf numFmtId="164" fontId="4" fillId="0" borderId="2" xfId="0" applyNumberFormat="1" applyFont="1" applyFill="1" applyBorder="1" applyAlignment="1" applyProtection="1">
      <alignment horizontal="center"/>
      <protection locked="0"/>
    </xf>
    <xf numFmtId="164" fontId="9" fillId="0" borderId="2" xfId="0" applyNumberFormat="1" applyFont="1" applyFill="1" applyBorder="1" applyAlignment="1" applyProtection="1">
      <alignment horizontal="center"/>
      <protection locked="0"/>
    </xf>
    <xf numFmtId="164" fontId="1" fillId="0" borderId="2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8" fillId="0" borderId="9" xfId="0" applyNumberFormat="1" applyFont="1" applyFill="1" applyBorder="1" applyAlignment="1" applyProtection="1">
      <alignment horizontal="center"/>
      <protection locked="0"/>
    </xf>
    <xf numFmtId="164" fontId="11" fillId="0" borderId="9" xfId="0" applyNumberFormat="1" applyFont="1" applyFill="1" applyBorder="1" applyAlignment="1" applyProtection="1">
      <alignment horizontal="center"/>
    </xf>
    <xf numFmtId="0" fontId="3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2" fillId="0" borderId="16" xfId="0" applyFont="1" applyFill="1" applyBorder="1" applyProtection="1">
      <protection locked="0"/>
    </xf>
    <xf numFmtId="164" fontId="2" fillId="0" borderId="16" xfId="0" applyNumberFormat="1" applyFont="1" applyFill="1" applyBorder="1" applyProtection="1">
      <protection locked="0"/>
    </xf>
    <xf numFmtId="164" fontId="33" fillId="2" borderId="2" xfId="0" applyNumberFormat="1" applyFont="1" applyFill="1" applyBorder="1" applyAlignment="1" applyProtection="1">
      <alignment horizontal="center"/>
      <protection locked="0"/>
    </xf>
    <xf numFmtId="0" fontId="33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164" fontId="5" fillId="2" borderId="2" xfId="0" applyNumberFormat="1" applyFont="1" applyFill="1" applyBorder="1" applyAlignment="1" applyProtection="1">
      <alignment horizontal="center"/>
    </xf>
    <xf numFmtId="0" fontId="34" fillId="0" borderId="0" xfId="0" applyFont="1" applyProtection="1"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0" fontId="35" fillId="0" borderId="0" xfId="0" applyFont="1" applyProtection="1">
      <protection locked="0"/>
    </xf>
    <xf numFmtId="0" fontId="16" fillId="2" borderId="2" xfId="0" applyFont="1" applyFill="1" applyBorder="1" applyProtection="1">
      <protection locked="0"/>
    </xf>
    <xf numFmtId="0" fontId="16" fillId="2" borderId="2" xfId="0" applyFont="1" applyFill="1" applyBorder="1" applyProtection="1"/>
    <xf numFmtId="0" fontId="15" fillId="2" borderId="2" xfId="0" applyFont="1" applyFill="1" applyBorder="1" applyProtection="1"/>
    <xf numFmtId="166" fontId="19" fillId="2" borderId="11" xfId="0" applyNumberFormat="1" applyFont="1" applyFill="1" applyBorder="1" applyAlignment="1" applyProtection="1">
      <alignment horizontal="center" vertical="center" wrapText="1"/>
    </xf>
    <xf numFmtId="166" fontId="15" fillId="2" borderId="2" xfId="0" applyNumberFormat="1" applyFont="1" applyFill="1" applyBorder="1" applyProtection="1">
      <protection locked="0"/>
    </xf>
    <xf numFmtId="0" fontId="15" fillId="2" borderId="0" xfId="0" applyFont="1" applyFill="1" applyProtection="1">
      <protection locked="0"/>
    </xf>
    <xf numFmtId="0" fontId="16" fillId="2" borderId="1" xfId="0" applyFont="1" applyFill="1" applyBorder="1" applyProtection="1"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164" fontId="9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164" fontId="26" fillId="0" borderId="0" xfId="0" applyNumberFormat="1" applyFont="1" applyProtection="1"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/>
    </xf>
    <xf numFmtId="166" fontId="15" fillId="0" borderId="0" xfId="0" applyNumberFormat="1" applyFont="1" applyFill="1" applyProtection="1">
      <protection locked="0"/>
    </xf>
    <xf numFmtId="0" fontId="36" fillId="0" borderId="0" xfId="0" applyFont="1" applyAlignment="1" applyProtection="1">
      <alignment vertical="top"/>
      <protection locked="0"/>
    </xf>
    <xf numFmtId="166" fontId="36" fillId="0" borderId="0" xfId="0" applyNumberFormat="1" applyFont="1" applyAlignment="1" applyProtection="1">
      <alignment vertical="top"/>
      <protection locked="0"/>
    </xf>
    <xf numFmtId="166" fontId="1" fillId="0" borderId="0" xfId="0" applyNumberFormat="1" applyFont="1" applyFill="1" applyProtection="1">
      <protection locked="0"/>
    </xf>
    <xf numFmtId="2" fontId="15" fillId="0" borderId="0" xfId="0" applyNumberFormat="1" applyFont="1" applyFill="1" applyProtection="1">
      <protection locked="0"/>
    </xf>
    <xf numFmtId="166" fontId="0" fillId="0" borderId="0" xfId="0" applyNumberFormat="1" applyAlignment="1" applyProtection="1">
      <alignment vertical="top"/>
      <protection locked="0"/>
    </xf>
    <xf numFmtId="0" fontId="0" fillId="0" borderId="2" xfId="0" applyBorder="1"/>
    <xf numFmtId="0" fontId="3" fillId="0" borderId="17" xfId="0" applyFont="1" applyFill="1" applyBorder="1" applyProtection="1">
      <protection locked="0"/>
    </xf>
    <xf numFmtId="0" fontId="2" fillId="0" borderId="17" xfId="0" applyFont="1" applyFill="1" applyBorder="1" applyProtection="1">
      <protection locked="0"/>
    </xf>
    <xf numFmtId="166" fontId="15" fillId="2" borderId="0" xfId="0" applyNumberFormat="1" applyFont="1" applyFill="1" applyProtection="1">
      <protection locked="0"/>
    </xf>
    <xf numFmtId="164" fontId="0" fillId="0" borderId="2" xfId="0" applyNumberFormat="1" applyBorder="1"/>
    <xf numFmtId="164" fontId="0" fillId="0" borderId="0" xfId="0" applyNumberFormat="1"/>
    <xf numFmtId="166" fontId="23" fillId="0" borderId="0" xfId="0" applyNumberFormat="1" applyFont="1" applyAlignment="1" applyProtection="1">
      <alignment vertical="top"/>
      <protection locked="0"/>
    </xf>
    <xf numFmtId="166" fontId="24" fillId="0" borderId="0" xfId="0" applyNumberFormat="1" applyFont="1" applyAlignment="1" applyProtection="1">
      <alignment vertical="top"/>
      <protection locked="0"/>
    </xf>
    <xf numFmtId="166" fontId="21" fillId="0" borderId="0" xfId="0" applyNumberFormat="1" applyFont="1" applyAlignment="1" applyProtection="1">
      <alignment vertical="top"/>
      <protection locked="0"/>
    </xf>
    <xf numFmtId="166" fontId="12" fillId="0" borderId="2" xfId="0" applyNumberFormat="1" applyFont="1" applyFill="1" applyBorder="1" applyAlignment="1" applyProtection="1">
      <alignment vertical="top"/>
      <protection locked="0"/>
    </xf>
    <xf numFmtId="166" fontId="9" fillId="2" borderId="2" xfId="0" applyNumberFormat="1" applyFont="1" applyFill="1" applyBorder="1" applyAlignment="1" applyProtection="1">
      <alignment vertical="top"/>
    </xf>
    <xf numFmtId="0" fontId="15" fillId="0" borderId="0" xfId="0" applyFont="1" applyFill="1" applyAlignment="1" applyProtection="1">
      <alignment horizontal="left" vertical="top"/>
      <protection locked="0"/>
    </xf>
    <xf numFmtId="166" fontId="15" fillId="3" borderId="0" xfId="0" applyNumberFormat="1" applyFont="1" applyFill="1" applyProtection="1">
      <protection locked="0"/>
    </xf>
    <xf numFmtId="166" fontId="37" fillId="0" borderId="0" xfId="0" applyNumberFormat="1" applyFont="1" applyAlignment="1" applyProtection="1">
      <alignment vertical="top"/>
      <protection locked="0"/>
    </xf>
    <xf numFmtId="0" fontId="36" fillId="0" borderId="0" xfId="0" applyFont="1" applyAlignment="1" applyProtection="1">
      <alignment vertical="top"/>
    </xf>
    <xf numFmtId="166" fontId="19" fillId="0" borderId="0" xfId="0" applyNumberFormat="1" applyFont="1" applyFill="1" applyProtection="1">
      <protection locked="0"/>
    </xf>
    <xf numFmtId="0" fontId="0" fillId="0" borderId="0" xfId="0" applyBorder="1"/>
    <xf numFmtId="164" fontId="0" fillId="0" borderId="0" xfId="0" applyNumberFormat="1" applyBorder="1"/>
    <xf numFmtId="0" fontId="0" fillId="0" borderId="2" xfId="0" applyFill="1" applyBorder="1"/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2" fontId="5" fillId="0" borderId="2" xfId="0" applyNumberFormat="1" applyFont="1" applyFill="1" applyBorder="1" applyAlignment="1" applyProtection="1">
      <alignment horizontal="center" vertical="center" wrapText="1"/>
    </xf>
    <xf numFmtId="2" fontId="5" fillId="2" borderId="2" xfId="0" applyNumberFormat="1" applyFont="1" applyFill="1" applyBorder="1" applyAlignment="1" applyProtection="1">
      <alignment horizontal="center" vertical="center" wrapText="1"/>
    </xf>
    <xf numFmtId="2" fontId="4" fillId="0" borderId="2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165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wrapText="1"/>
      <protection locked="0"/>
    </xf>
    <xf numFmtId="0" fontId="9" fillId="0" borderId="1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8"/>
  <sheetViews>
    <sheetView tabSelected="1" zoomScale="70" zoomScaleNormal="70" zoomScaleSheetLayoutView="70" workbookViewId="0">
      <pane xSplit="3" ySplit="4" topLeftCell="D5" activePane="bottomRight" state="frozen"/>
      <selection activeCell="T1" sqref="T1:T3"/>
      <selection pane="topRight" activeCell="T1" sqref="T1:T3"/>
      <selection pane="bottomLeft" activeCell="T1" sqref="T1:T3"/>
      <selection pane="bottomRight" activeCell="E225" sqref="E225"/>
    </sheetView>
  </sheetViews>
  <sheetFormatPr defaultRowHeight="15"/>
  <cols>
    <col min="1" max="1" width="55.140625" style="24" customWidth="1"/>
    <col min="2" max="2" width="8.42578125" style="24" bestFit="1" customWidth="1"/>
    <col min="3" max="3" width="11.42578125" style="24" bestFit="1" customWidth="1"/>
    <col min="4" max="4" width="16.7109375" style="162" customWidth="1"/>
    <col min="5" max="5" width="20" style="163" customWidth="1"/>
    <col min="6" max="6" width="14" style="163" customWidth="1"/>
    <col min="7" max="7" width="15.140625" style="163" customWidth="1"/>
    <col min="8" max="9" width="18" style="163" customWidth="1"/>
    <col min="10" max="10" width="15.140625" style="163" customWidth="1"/>
    <col min="11" max="11" width="19.42578125" style="144" customWidth="1"/>
    <col min="12" max="12" width="17.42578125" style="144" customWidth="1"/>
    <col min="13" max="13" width="9.140625" style="24"/>
    <col min="14" max="14" width="19.7109375" style="24" bestFit="1" customWidth="1"/>
    <col min="15" max="15" width="14.42578125" style="24" bestFit="1" customWidth="1"/>
    <col min="16" max="16384" width="9.140625" style="24"/>
  </cols>
  <sheetData>
    <row r="2" spans="1:14">
      <c r="A2" s="215" t="s">
        <v>234</v>
      </c>
      <c r="B2" s="220" t="s">
        <v>13</v>
      </c>
      <c r="C2" s="221"/>
      <c r="D2" s="216" t="s">
        <v>16</v>
      </c>
      <c r="E2" s="216"/>
      <c r="F2" s="216"/>
      <c r="G2" s="216" t="s">
        <v>0</v>
      </c>
      <c r="H2" s="216"/>
      <c r="I2" s="216"/>
      <c r="J2" s="217" t="s">
        <v>1</v>
      </c>
      <c r="K2" s="217"/>
      <c r="L2" s="217"/>
    </row>
    <row r="3" spans="1:14">
      <c r="A3" s="215"/>
      <c r="B3" s="222"/>
      <c r="C3" s="223"/>
      <c r="D3" s="216" t="s">
        <v>2</v>
      </c>
      <c r="E3" s="218" t="s">
        <v>3</v>
      </c>
      <c r="F3" s="218" t="s">
        <v>4</v>
      </c>
      <c r="G3" s="218" t="s">
        <v>2</v>
      </c>
      <c r="H3" s="218" t="s">
        <v>3</v>
      </c>
      <c r="I3" s="218" t="s">
        <v>4</v>
      </c>
      <c r="J3" s="218" t="s">
        <v>2</v>
      </c>
      <c r="K3" s="219" t="s">
        <v>3</v>
      </c>
      <c r="L3" s="219" t="s">
        <v>4</v>
      </c>
    </row>
    <row r="4" spans="1:14" ht="149.25" customHeight="1">
      <c r="A4" s="215"/>
      <c r="B4" s="188" t="s">
        <v>14</v>
      </c>
      <c r="C4" s="188" t="s">
        <v>15</v>
      </c>
      <c r="D4" s="216"/>
      <c r="E4" s="218"/>
      <c r="F4" s="218"/>
      <c r="G4" s="218"/>
      <c r="H4" s="218"/>
      <c r="I4" s="218"/>
      <c r="J4" s="218"/>
      <c r="K4" s="219"/>
      <c r="L4" s="219"/>
    </row>
    <row r="5" spans="1:14" s="131" customFormat="1" ht="19.5">
      <c r="A5" s="130" t="s">
        <v>6</v>
      </c>
      <c r="B5" s="130"/>
      <c r="C5" s="130"/>
      <c r="D5" s="149">
        <f>E5+F5</f>
        <v>2902.2945399999999</v>
      </c>
      <c r="E5" s="149">
        <f>SUM(E6:E43)</f>
        <v>2790.00846</v>
      </c>
      <c r="F5" s="149">
        <f t="shared" ref="F5:L5" si="0">SUM(F6:F43)</f>
        <v>112.28608</v>
      </c>
      <c r="G5" s="149">
        <f>H5+I5</f>
        <v>2902.2945399999999</v>
      </c>
      <c r="H5" s="149">
        <f t="shared" si="0"/>
        <v>2790.00846</v>
      </c>
      <c r="I5" s="149">
        <f t="shared" si="0"/>
        <v>112.28608</v>
      </c>
      <c r="J5" s="149">
        <f>K5+L5</f>
        <v>0</v>
      </c>
      <c r="K5" s="137">
        <f t="shared" si="0"/>
        <v>0</v>
      </c>
      <c r="L5" s="137">
        <f t="shared" si="0"/>
        <v>0</v>
      </c>
    </row>
    <row r="6" spans="1:14" ht="19.5">
      <c r="A6" s="2" t="s">
        <v>7</v>
      </c>
      <c r="B6" s="188"/>
      <c r="C6" s="188"/>
      <c r="D6" s="149">
        <f t="shared" ref="D6:D72" si="1">E6+F6</f>
        <v>0</v>
      </c>
      <c r="E6" s="148"/>
      <c r="F6" s="148"/>
      <c r="G6" s="149">
        <f t="shared" ref="G6:G72" si="2">H6+I6</f>
        <v>0</v>
      </c>
      <c r="H6" s="148"/>
      <c r="I6" s="148"/>
      <c r="J6" s="149">
        <f t="shared" ref="J6:J72" si="3">K6+L6</f>
        <v>0</v>
      </c>
      <c r="K6" s="138"/>
      <c r="L6" s="138"/>
    </row>
    <row r="7" spans="1:14" ht="19.5">
      <c r="A7" s="2" t="s">
        <v>8</v>
      </c>
      <c r="B7" s="224">
        <v>130</v>
      </c>
      <c r="C7" s="188">
        <v>131</v>
      </c>
      <c r="D7" s="149">
        <f t="shared" si="1"/>
        <v>416.29</v>
      </c>
      <c r="E7" s="148">
        <v>416.29</v>
      </c>
      <c r="F7" s="148"/>
      <c r="G7" s="149">
        <f t="shared" si="2"/>
        <v>416.29</v>
      </c>
      <c r="H7" s="148">
        <f>79.43+85.92+66.21+2.27+0.7+0.8+50.26+72.3+58.4</f>
        <v>416.29</v>
      </c>
      <c r="I7" s="148"/>
      <c r="J7" s="149">
        <f t="shared" si="3"/>
        <v>0</v>
      </c>
      <c r="K7" s="138"/>
      <c r="L7" s="138"/>
    </row>
    <row r="8" spans="1:14" ht="35.25" customHeight="1">
      <c r="A8" s="2" t="s">
        <v>127</v>
      </c>
      <c r="B8" s="225"/>
      <c r="C8" s="188"/>
      <c r="D8" s="149">
        <f t="shared" si="1"/>
        <v>2373.7184600000001</v>
      </c>
      <c r="E8" s="148">
        <v>2373.7184600000001</v>
      </c>
      <c r="F8" s="148"/>
      <c r="G8" s="149">
        <f t="shared" si="2"/>
        <v>2373.7184600000001</v>
      </c>
      <c r="H8" s="148">
        <f>515.304+1218.97552+639.43894</f>
        <v>2373.7184600000001</v>
      </c>
      <c r="I8" s="148"/>
      <c r="J8" s="149">
        <f t="shared" si="3"/>
        <v>0</v>
      </c>
      <c r="K8" s="138"/>
      <c r="L8" s="138"/>
      <c r="N8" s="185"/>
    </row>
    <row r="9" spans="1:14" ht="19.5" hidden="1">
      <c r="A9" s="2" t="s">
        <v>128</v>
      </c>
      <c r="B9" s="225"/>
      <c r="C9" s="188"/>
      <c r="D9" s="149">
        <f t="shared" si="1"/>
        <v>0</v>
      </c>
      <c r="E9" s="148"/>
      <c r="F9" s="148"/>
      <c r="G9" s="149">
        <f t="shared" si="2"/>
        <v>0</v>
      </c>
      <c r="H9" s="148"/>
      <c r="I9" s="148"/>
      <c r="J9" s="149">
        <f t="shared" si="3"/>
        <v>0</v>
      </c>
      <c r="K9" s="138"/>
      <c r="L9" s="138"/>
    </row>
    <row r="10" spans="1:14" ht="19.5" hidden="1">
      <c r="A10" s="2" t="s">
        <v>129</v>
      </c>
      <c r="B10" s="225"/>
      <c r="C10" s="188"/>
      <c r="D10" s="149">
        <f t="shared" si="1"/>
        <v>0</v>
      </c>
      <c r="E10" s="148"/>
      <c r="F10" s="148"/>
      <c r="G10" s="149">
        <f t="shared" si="2"/>
        <v>0</v>
      </c>
      <c r="H10" s="148"/>
      <c r="I10" s="148"/>
      <c r="J10" s="149">
        <f t="shared" si="3"/>
        <v>0</v>
      </c>
      <c r="K10" s="138"/>
      <c r="L10" s="138"/>
    </row>
    <row r="11" spans="1:14" ht="19.5" hidden="1">
      <c r="A11" s="2"/>
      <c r="B11" s="225"/>
      <c r="C11" s="188"/>
      <c r="D11" s="149">
        <f t="shared" si="1"/>
        <v>0</v>
      </c>
      <c r="E11" s="148"/>
      <c r="F11" s="148"/>
      <c r="G11" s="149">
        <f t="shared" si="2"/>
        <v>0</v>
      </c>
      <c r="H11" s="148"/>
      <c r="I11" s="148"/>
      <c r="J11" s="149">
        <f t="shared" si="3"/>
        <v>0</v>
      </c>
      <c r="K11" s="138"/>
      <c r="L11" s="138"/>
    </row>
    <row r="12" spans="1:14" ht="19.5" hidden="1">
      <c r="A12" s="2"/>
      <c r="B12" s="225"/>
      <c r="C12" s="188"/>
      <c r="D12" s="149">
        <f t="shared" si="1"/>
        <v>0</v>
      </c>
      <c r="E12" s="148"/>
      <c r="F12" s="148"/>
      <c r="G12" s="149">
        <f t="shared" si="2"/>
        <v>0</v>
      </c>
      <c r="H12" s="148"/>
      <c r="I12" s="148"/>
      <c r="J12" s="149">
        <f t="shared" si="3"/>
        <v>0</v>
      </c>
      <c r="K12" s="138"/>
      <c r="L12" s="138"/>
    </row>
    <row r="13" spans="1:14" ht="19.5" hidden="1">
      <c r="A13" s="2"/>
      <c r="B13" s="225"/>
      <c r="C13" s="188"/>
      <c r="D13" s="149">
        <f t="shared" si="1"/>
        <v>0</v>
      </c>
      <c r="E13" s="148"/>
      <c r="F13" s="148"/>
      <c r="G13" s="149">
        <f t="shared" si="2"/>
        <v>0</v>
      </c>
      <c r="H13" s="148"/>
      <c r="I13" s="148"/>
      <c r="J13" s="149">
        <f t="shared" si="3"/>
        <v>0</v>
      </c>
      <c r="K13" s="138"/>
      <c r="L13" s="138"/>
    </row>
    <row r="14" spans="1:14" ht="19.5" hidden="1">
      <c r="A14" s="2"/>
      <c r="B14" s="225"/>
      <c r="C14" s="188"/>
      <c r="D14" s="149">
        <f>E14+F14</f>
        <v>0</v>
      </c>
      <c r="E14" s="148"/>
      <c r="F14" s="148"/>
      <c r="G14" s="149">
        <f t="shared" si="2"/>
        <v>0</v>
      </c>
      <c r="H14" s="148"/>
      <c r="I14" s="148"/>
      <c r="J14" s="149">
        <f t="shared" si="3"/>
        <v>0</v>
      </c>
      <c r="K14" s="138"/>
      <c r="L14" s="138"/>
    </row>
    <row r="15" spans="1:14" ht="19.5" hidden="1">
      <c r="A15" s="2"/>
      <c r="B15" s="225"/>
      <c r="C15" s="188"/>
      <c r="D15" s="149">
        <f t="shared" si="1"/>
        <v>0</v>
      </c>
      <c r="E15" s="148"/>
      <c r="F15" s="148"/>
      <c r="G15" s="149">
        <f t="shared" si="2"/>
        <v>0</v>
      </c>
      <c r="H15" s="148"/>
      <c r="I15" s="148"/>
      <c r="J15" s="149">
        <f t="shared" si="3"/>
        <v>0</v>
      </c>
      <c r="K15" s="138"/>
      <c r="L15" s="138"/>
    </row>
    <row r="16" spans="1:14" ht="19.5" hidden="1">
      <c r="A16" s="2"/>
      <c r="B16" s="225"/>
      <c r="C16" s="188"/>
      <c r="D16" s="149">
        <f t="shared" si="1"/>
        <v>0</v>
      </c>
      <c r="E16" s="148"/>
      <c r="F16" s="148"/>
      <c r="G16" s="149">
        <f t="shared" si="2"/>
        <v>0</v>
      </c>
      <c r="H16" s="148"/>
      <c r="I16" s="148"/>
      <c r="J16" s="149">
        <f t="shared" si="3"/>
        <v>0</v>
      </c>
      <c r="K16" s="138"/>
      <c r="L16" s="138"/>
    </row>
    <row r="17" spans="1:12" ht="19.5" hidden="1">
      <c r="A17" s="2"/>
      <c r="B17" s="225"/>
      <c r="C17" s="188"/>
      <c r="D17" s="149">
        <f t="shared" si="1"/>
        <v>0</v>
      </c>
      <c r="E17" s="148"/>
      <c r="F17" s="148"/>
      <c r="G17" s="149">
        <f t="shared" si="2"/>
        <v>0</v>
      </c>
      <c r="H17" s="148"/>
      <c r="I17" s="148"/>
      <c r="J17" s="149">
        <f t="shared" si="3"/>
        <v>0</v>
      </c>
      <c r="K17" s="138"/>
      <c r="L17" s="138"/>
    </row>
    <row r="18" spans="1:12" ht="19.5" hidden="1">
      <c r="A18" s="2"/>
      <c r="B18" s="225"/>
      <c r="C18" s="188"/>
      <c r="D18" s="149">
        <f t="shared" si="1"/>
        <v>0</v>
      </c>
      <c r="E18" s="148"/>
      <c r="F18" s="148"/>
      <c r="G18" s="149">
        <f t="shared" si="2"/>
        <v>0</v>
      </c>
      <c r="H18" s="148"/>
      <c r="I18" s="148"/>
      <c r="J18" s="149">
        <f t="shared" si="3"/>
        <v>0</v>
      </c>
      <c r="K18" s="138"/>
      <c r="L18" s="138"/>
    </row>
    <row r="19" spans="1:12" ht="19.5" hidden="1">
      <c r="A19" s="2"/>
      <c r="B19" s="225"/>
      <c r="C19" s="188"/>
      <c r="D19" s="149">
        <f t="shared" si="1"/>
        <v>0</v>
      </c>
      <c r="E19" s="148"/>
      <c r="F19" s="148"/>
      <c r="G19" s="149">
        <f t="shared" si="2"/>
        <v>0</v>
      </c>
      <c r="H19" s="148"/>
      <c r="I19" s="148"/>
      <c r="J19" s="149">
        <f t="shared" si="3"/>
        <v>0</v>
      </c>
      <c r="K19" s="138"/>
      <c r="L19" s="138"/>
    </row>
    <row r="20" spans="1:12" ht="19.5" hidden="1">
      <c r="A20" s="2"/>
      <c r="B20" s="225"/>
      <c r="C20" s="188"/>
      <c r="D20" s="149">
        <f t="shared" si="1"/>
        <v>0</v>
      </c>
      <c r="E20" s="148"/>
      <c r="F20" s="148"/>
      <c r="G20" s="149">
        <f t="shared" si="2"/>
        <v>0</v>
      </c>
      <c r="H20" s="148"/>
      <c r="I20" s="148"/>
      <c r="J20" s="149">
        <f t="shared" si="3"/>
        <v>0</v>
      </c>
      <c r="K20" s="138"/>
      <c r="L20" s="138"/>
    </row>
    <row r="21" spans="1:12" ht="19.5" hidden="1">
      <c r="A21" s="2"/>
      <c r="B21" s="225"/>
      <c r="C21" s="188"/>
      <c r="D21" s="149">
        <f t="shared" si="1"/>
        <v>0</v>
      </c>
      <c r="E21" s="148"/>
      <c r="F21" s="148"/>
      <c r="G21" s="149">
        <f t="shared" si="2"/>
        <v>0</v>
      </c>
      <c r="H21" s="148"/>
      <c r="I21" s="148"/>
      <c r="J21" s="149">
        <f t="shared" si="3"/>
        <v>0</v>
      </c>
      <c r="K21" s="138"/>
      <c r="L21" s="138"/>
    </row>
    <row r="22" spans="1:12" ht="19.5" hidden="1">
      <c r="A22" s="2"/>
      <c r="B22" s="225"/>
      <c r="C22" s="188"/>
      <c r="D22" s="149">
        <f t="shared" si="1"/>
        <v>0</v>
      </c>
      <c r="E22" s="148"/>
      <c r="F22" s="148"/>
      <c r="G22" s="149">
        <f t="shared" si="2"/>
        <v>0</v>
      </c>
      <c r="H22" s="148"/>
      <c r="I22" s="148"/>
      <c r="J22" s="149">
        <f t="shared" si="3"/>
        <v>0</v>
      </c>
      <c r="K22" s="138"/>
      <c r="L22" s="138"/>
    </row>
    <row r="23" spans="1:12" ht="19.5" hidden="1">
      <c r="A23" s="2"/>
      <c r="B23" s="225"/>
      <c r="C23" s="188"/>
      <c r="D23" s="149">
        <f t="shared" si="1"/>
        <v>0</v>
      </c>
      <c r="E23" s="148"/>
      <c r="F23" s="148"/>
      <c r="G23" s="149">
        <f t="shared" si="2"/>
        <v>0</v>
      </c>
      <c r="H23" s="148"/>
      <c r="I23" s="148"/>
      <c r="J23" s="149">
        <f t="shared" si="3"/>
        <v>0</v>
      </c>
      <c r="K23" s="138"/>
      <c r="L23" s="138"/>
    </row>
    <row r="24" spans="1:12" ht="19.5" hidden="1">
      <c r="A24" s="2"/>
      <c r="B24" s="225"/>
      <c r="C24" s="188"/>
      <c r="D24" s="149">
        <f t="shared" si="1"/>
        <v>0</v>
      </c>
      <c r="E24" s="148"/>
      <c r="F24" s="148"/>
      <c r="G24" s="149">
        <f t="shared" si="2"/>
        <v>0</v>
      </c>
      <c r="H24" s="148"/>
      <c r="I24" s="148"/>
      <c r="J24" s="149">
        <f t="shared" si="3"/>
        <v>0</v>
      </c>
      <c r="K24" s="138"/>
      <c r="L24" s="138"/>
    </row>
    <row r="25" spans="1:12" ht="19.5" hidden="1">
      <c r="A25" s="2"/>
      <c r="B25" s="225"/>
      <c r="C25" s="188"/>
      <c r="D25" s="149">
        <f t="shared" si="1"/>
        <v>0</v>
      </c>
      <c r="E25" s="148"/>
      <c r="F25" s="148"/>
      <c r="G25" s="149">
        <f t="shared" si="2"/>
        <v>0</v>
      </c>
      <c r="H25" s="148"/>
      <c r="I25" s="148"/>
      <c r="J25" s="149">
        <f t="shared" si="3"/>
        <v>0</v>
      </c>
      <c r="K25" s="138"/>
      <c r="L25" s="138"/>
    </row>
    <row r="26" spans="1:12" ht="19.5" hidden="1">
      <c r="A26" s="2"/>
      <c r="B26" s="225"/>
      <c r="C26" s="188"/>
      <c r="D26" s="149">
        <f t="shared" si="1"/>
        <v>0</v>
      </c>
      <c r="E26" s="148"/>
      <c r="F26" s="148"/>
      <c r="G26" s="149">
        <f t="shared" si="2"/>
        <v>0</v>
      </c>
      <c r="H26" s="148"/>
      <c r="I26" s="148"/>
      <c r="J26" s="149">
        <f t="shared" si="3"/>
        <v>0</v>
      </c>
      <c r="K26" s="138"/>
      <c r="L26" s="138"/>
    </row>
    <row r="27" spans="1:12" ht="19.5" hidden="1">
      <c r="A27" s="2"/>
      <c r="B27" s="225"/>
      <c r="C27" s="188"/>
      <c r="D27" s="149">
        <f t="shared" si="1"/>
        <v>0</v>
      </c>
      <c r="E27" s="148"/>
      <c r="F27" s="148"/>
      <c r="G27" s="149">
        <f t="shared" si="2"/>
        <v>0</v>
      </c>
      <c r="H27" s="148"/>
      <c r="I27" s="148"/>
      <c r="J27" s="149">
        <f t="shared" si="3"/>
        <v>0</v>
      </c>
      <c r="K27" s="138"/>
      <c r="L27" s="138"/>
    </row>
    <row r="28" spans="1:12" ht="19.5" hidden="1">
      <c r="A28" s="2"/>
      <c r="B28" s="225"/>
      <c r="C28" s="188"/>
      <c r="D28" s="149">
        <f t="shared" si="1"/>
        <v>0</v>
      </c>
      <c r="E28" s="148"/>
      <c r="F28" s="148"/>
      <c r="G28" s="149">
        <f t="shared" si="2"/>
        <v>0</v>
      </c>
      <c r="H28" s="148"/>
      <c r="I28" s="148"/>
      <c r="J28" s="149">
        <f t="shared" si="3"/>
        <v>0</v>
      </c>
      <c r="K28" s="138"/>
      <c r="L28" s="138"/>
    </row>
    <row r="29" spans="1:12" ht="19.5" hidden="1">
      <c r="A29" s="2"/>
      <c r="B29" s="225"/>
      <c r="C29" s="188"/>
      <c r="D29" s="149">
        <f t="shared" si="1"/>
        <v>0</v>
      </c>
      <c r="E29" s="148"/>
      <c r="F29" s="148"/>
      <c r="G29" s="149">
        <f t="shared" si="2"/>
        <v>0</v>
      </c>
      <c r="H29" s="148"/>
      <c r="I29" s="148"/>
      <c r="J29" s="149">
        <f t="shared" si="3"/>
        <v>0</v>
      </c>
      <c r="K29" s="138"/>
      <c r="L29" s="138"/>
    </row>
    <row r="30" spans="1:12" ht="19.5" hidden="1">
      <c r="A30" s="2"/>
      <c r="B30" s="225"/>
      <c r="C30" s="188"/>
      <c r="D30" s="149">
        <f t="shared" si="1"/>
        <v>0</v>
      </c>
      <c r="E30" s="148"/>
      <c r="F30" s="148"/>
      <c r="G30" s="149">
        <f t="shared" si="2"/>
        <v>0</v>
      </c>
      <c r="H30" s="148"/>
      <c r="I30" s="148"/>
      <c r="J30" s="149">
        <f t="shared" si="3"/>
        <v>0</v>
      </c>
      <c r="K30" s="138"/>
      <c r="L30" s="138"/>
    </row>
    <row r="31" spans="1:12" ht="19.5" hidden="1">
      <c r="A31" s="2"/>
      <c r="B31" s="225"/>
      <c r="C31" s="188"/>
      <c r="D31" s="149">
        <f t="shared" si="1"/>
        <v>0</v>
      </c>
      <c r="E31" s="148"/>
      <c r="F31" s="148"/>
      <c r="G31" s="149">
        <f t="shared" si="2"/>
        <v>0</v>
      </c>
      <c r="H31" s="148"/>
      <c r="I31" s="148"/>
      <c r="J31" s="149">
        <f t="shared" si="3"/>
        <v>0</v>
      </c>
      <c r="K31" s="138"/>
      <c r="L31" s="138"/>
    </row>
    <row r="32" spans="1:12" ht="19.5" hidden="1">
      <c r="A32" s="2"/>
      <c r="B32" s="225"/>
      <c r="C32" s="188"/>
      <c r="D32" s="149">
        <f t="shared" si="1"/>
        <v>0</v>
      </c>
      <c r="E32" s="148"/>
      <c r="F32" s="148"/>
      <c r="G32" s="149">
        <f t="shared" si="2"/>
        <v>0</v>
      </c>
      <c r="H32" s="148"/>
      <c r="I32" s="148"/>
      <c r="J32" s="149">
        <f t="shared" si="3"/>
        <v>0</v>
      </c>
      <c r="K32" s="138"/>
      <c r="L32" s="138"/>
    </row>
    <row r="33" spans="1:15" ht="19.5" hidden="1">
      <c r="A33" s="2" t="s">
        <v>9</v>
      </c>
      <c r="B33" s="225"/>
      <c r="C33" s="188"/>
      <c r="D33" s="149">
        <f t="shared" si="1"/>
        <v>0</v>
      </c>
      <c r="E33" s="148"/>
      <c r="F33" s="148"/>
      <c r="G33" s="149">
        <f t="shared" si="2"/>
        <v>0</v>
      </c>
      <c r="H33" s="148"/>
      <c r="I33" s="148"/>
      <c r="J33" s="149">
        <f t="shared" si="3"/>
        <v>0</v>
      </c>
      <c r="K33" s="138"/>
      <c r="L33" s="138"/>
    </row>
    <row r="34" spans="1:15" ht="19.5" hidden="1">
      <c r="A34" s="2" t="s">
        <v>12</v>
      </c>
      <c r="B34" s="226"/>
      <c r="C34" s="188"/>
      <c r="D34" s="149">
        <f t="shared" si="1"/>
        <v>0</v>
      </c>
      <c r="E34" s="148"/>
      <c r="F34" s="148"/>
      <c r="G34" s="149">
        <f t="shared" si="2"/>
        <v>0</v>
      </c>
      <c r="H34" s="148"/>
      <c r="I34" s="148"/>
      <c r="J34" s="149">
        <f t="shared" si="3"/>
        <v>0</v>
      </c>
      <c r="K34" s="138"/>
      <c r="L34" s="138"/>
    </row>
    <row r="35" spans="1:15" ht="19.5">
      <c r="A35" s="2" t="s">
        <v>5</v>
      </c>
      <c r="B35" s="188">
        <v>120</v>
      </c>
      <c r="C35" s="188">
        <v>121</v>
      </c>
      <c r="D35" s="149">
        <f t="shared" si="1"/>
        <v>105.28608</v>
      </c>
      <c r="E35" s="148"/>
      <c r="F35" s="148">
        <v>105.28608</v>
      </c>
      <c r="G35" s="149">
        <f t="shared" si="2"/>
        <v>105.28608</v>
      </c>
      <c r="H35" s="148"/>
      <c r="I35" s="148">
        <f>27.75827+27.75827+5.747+22.01127+22.01127</f>
        <v>105.28608</v>
      </c>
      <c r="J35" s="149">
        <f t="shared" si="3"/>
        <v>0</v>
      </c>
      <c r="K35" s="138"/>
      <c r="L35" s="138"/>
    </row>
    <row r="36" spans="1:15" ht="19.5">
      <c r="A36" s="2" t="s">
        <v>130</v>
      </c>
      <c r="B36" s="188">
        <v>150</v>
      </c>
      <c r="C36" s="188">
        <v>155</v>
      </c>
      <c r="D36" s="149">
        <f t="shared" si="1"/>
        <v>0</v>
      </c>
      <c r="E36" s="148"/>
      <c r="F36" s="148">
        <v>0</v>
      </c>
      <c r="G36" s="149">
        <f t="shared" si="2"/>
        <v>0</v>
      </c>
      <c r="H36" s="148"/>
      <c r="I36" s="148"/>
      <c r="J36" s="149">
        <f t="shared" si="3"/>
        <v>0</v>
      </c>
      <c r="K36" s="138"/>
      <c r="L36" s="138"/>
    </row>
    <row r="37" spans="1:15" ht="19.5">
      <c r="A37" s="2" t="s">
        <v>222</v>
      </c>
      <c r="B37" s="224">
        <v>180</v>
      </c>
      <c r="C37" s="188"/>
      <c r="D37" s="149">
        <f t="shared" si="1"/>
        <v>5</v>
      </c>
      <c r="E37" s="148"/>
      <c r="F37" s="148">
        <v>5</v>
      </c>
      <c r="G37" s="149">
        <f t="shared" si="2"/>
        <v>5</v>
      </c>
      <c r="H37" s="148"/>
      <c r="I37" s="148">
        <v>5</v>
      </c>
      <c r="J37" s="149">
        <f t="shared" si="3"/>
        <v>0</v>
      </c>
      <c r="K37" s="138"/>
      <c r="L37" s="138"/>
    </row>
    <row r="38" spans="1:15" ht="19.5">
      <c r="A38" s="2" t="s">
        <v>11</v>
      </c>
      <c r="B38" s="225"/>
      <c r="C38" s="188"/>
      <c r="D38" s="149">
        <f t="shared" si="1"/>
        <v>0</v>
      </c>
      <c r="E38" s="148"/>
      <c r="F38" s="148"/>
      <c r="G38" s="149">
        <f t="shared" si="2"/>
        <v>0</v>
      </c>
      <c r="H38" s="148"/>
      <c r="I38" s="148"/>
      <c r="J38" s="149">
        <f t="shared" si="3"/>
        <v>0</v>
      </c>
      <c r="K38" s="138"/>
      <c r="L38" s="138"/>
    </row>
    <row r="39" spans="1:15" ht="19.5">
      <c r="A39" s="2" t="s">
        <v>223</v>
      </c>
      <c r="B39" s="225"/>
      <c r="C39" s="188">
        <v>440</v>
      </c>
      <c r="D39" s="149">
        <f t="shared" si="1"/>
        <v>2</v>
      </c>
      <c r="E39" s="148"/>
      <c r="F39" s="148">
        <v>2</v>
      </c>
      <c r="G39" s="149">
        <f t="shared" si="2"/>
        <v>2</v>
      </c>
      <c r="H39" s="148"/>
      <c r="I39" s="148">
        <v>2</v>
      </c>
      <c r="J39" s="149">
        <f t="shared" si="3"/>
        <v>0</v>
      </c>
      <c r="K39" s="138"/>
      <c r="L39" s="138"/>
      <c r="N39" s="185"/>
      <c r="O39" s="185"/>
    </row>
    <row r="40" spans="1:15" ht="19.5" hidden="1">
      <c r="A40" s="2"/>
      <c r="B40" s="225"/>
      <c r="C40" s="188"/>
      <c r="D40" s="149">
        <f t="shared" si="1"/>
        <v>0</v>
      </c>
      <c r="E40" s="148"/>
      <c r="F40" s="148"/>
      <c r="G40" s="149">
        <f t="shared" si="2"/>
        <v>0</v>
      </c>
      <c r="H40" s="148"/>
      <c r="I40" s="148"/>
      <c r="J40" s="149">
        <f t="shared" si="3"/>
        <v>0</v>
      </c>
      <c r="K40" s="138"/>
      <c r="L40" s="138"/>
    </row>
    <row r="41" spans="1:15" ht="19.5" hidden="1">
      <c r="A41" s="2"/>
      <c r="B41" s="225"/>
      <c r="C41" s="188"/>
      <c r="D41" s="149">
        <f t="shared" si="1"/>
        <v>0</v>
      </c>
      <c r="E41" s="148"/>
      <c r="F41" s="148"/>
      <c r="G41" s="149">
        <f t="shared" si="2"/>
        <v>0</v>
      </c>
      <c r="H41" s="148"/>
      <c r="I41" s="148"/>
      <c r="J41" s="149">
        <f t="shared" si="3"/>
        <v>0</v>
      </c>
      <c r="K41" s="138"/>
      <c r="L41" s="138"/>
    </row>
    <row r="42" spans="1:15" ht="19.5" hidden="1">
      <c r="A42" s="2"/>
      <c r="B42" s="225"/>
      <c r="C42" s="188"/>
      <c r="D42" s="149">
        <f t="shared" si="1"/>
        <v>0</v>
      </c>
      <c r="E42" s="148"/>
      <c r="F42" s="148"/>
      <c r="G42" s="149">
        <f t="shared" si="2"/>
        <v>0</v>
      </c>
      <c r="H42" s="148"/>
      <c r="I42" s="148"/>
      <c r="J42" s="149">
        <f t="shared" si="3"/>
        <v>0</v>
      </c>
      <c r="K42" s="138"/>
      <c r="L42" s="138"/>
    </row>
    <row r="43" spans="1:15" ht="19.5" hidden="1">
      <c r="A43" s="2" t="s">
        <v>10</v>
      </c>
      <c r="B43" s="226"/>
      <c r="C43" s="188"/>
      <c r="D43" s="149">
        <f t="shared" si="1"/>
        <v>0</v>
      </c>
      <c r="E43" s="148"/>
      <c r="F43" s="148"/>
      <c r="G43" s="149">
        <f t="shared" si="2"/>
        <v>0</v>
      </c>
      <c r="H43" s="148"/>
      <c r="I43" s="148"/>
      <c r="J43" s="149">
        <f t="shared" si="3"/>
        <v>0</v>
      </c>
      <c r="K43" s="138"/>
      <c r="L43" s="138"/>
    </row>
    <row r="44" spans="1:15" ht="19.5">
      <c r="A44" s="2" t="s">
        <v>224</v>
      </c>
      <c r="B44" s="3"/>
      <c r="C44" s="3"/>
      <c r="D44" s="149">
        <f t="shared" si="1"/>
        <v>94.546210000000002</v>
      </c>
      <c r="E44" s="148">
        <v>78.887330000000006</v>
      </c>
      <c r="F44" s="148">
        <v>15.65888</v>
      </c>
      <c r="G44" s="149">
        <f t="shared" si="2"/>
        <v>0</v>
      </c>
      <c r="H44" s="148"/>
      <c r="I44" s="148"/>
      <c r="J44" s="149">
        <f t="shared" si="3"/>
        <v>0</v>
      </c>
      <c r="K44" s="138"/>
      <c r="L44" s="138"/>
      <c r="N44" s="185"/>
      <c r="O44" s="185"/>
    </row>
    <row r="45" spans="1:15" s="133" customFormat="1" ht="19.5">
      <c r="A45" s="132" t="s">
        <v>126</v>
      </c>
      <c r="B45" s="28"/>
      <c r="C45" s="28"/>
      <c r="D45" s="149">
        <f t="shared" si="1"/>
        <v>2996.8407500000003</v>
      </c>
      <c r="E45" s="137">
        <f>E46+E54+E144+E157+E177</f>
        <v>2868.8957900000005</v>
      </c>
      <c r="F45" s="149">
        <f>F46+F54+F144+F157+F177</f>
        <v>127.94496000000001</v>
      </c>
      <c r="G45" s="149">
        <f>H45+I45</f>
        <v>2902.2945399999999</v>
      </c>
      <c r="H45" s="149">
        <f>H46+H54+H144+H157+H177</f>
        <v>2790.00846</v>
      </c>
      <c r="I45" s="149">
        <f>I46+I54+I144+I157+I177</f>
        <v>112.28608</v>
      </c>
      <c r="J45" s="149">
        <f>K45+L45</f>
        <v>2817.10734</v>
      </c>
      <c r="K45" s="137">
        <f>K46+K54+K144+K157+K177</f>
        <v>2751.1233400000001</v>
      </c>
      <c r="L45" s="137">
        <f>L46+L54+L144+L157+L177</f>
        <v>65.983999999999995</v>
      </c>
      <c r="N45" s="186"/>
      <c r="O45" s="186"/>
    </row>
    <row r="46" spans="1:15" s="25" customFormat="1" ht="33">
      <c r="A46" s="1" t="s">
        <v>17</v>
      </c>
      <c r="B46" s="21"/>
      <c r="C46" s="21">
        <v>210</v>
      </c>
      <c r="D46" s="149">
        <f t="shared" si="1"/>
        <v>295.06725</v>
      </c>
      <c r="E46" s="150">
        <f>E47+E50+E51</f>
        <v>295.06725</v>
      </c>
      <c r="F46" s="150">
        <f t="shared" ref="F46:L46" si="4">F47+F50+F51</f>
        <v>0</v>
      </c>
      <c r="G46" s="149">
        <f t="shared" si="2"/>
        <v>283.46724999999998</v>
      </c>
      <c r="H46" s="150">
        <f t="shared" si="4"/>
        <v>283.46724999999998</v>
      </c>
      <c r="I46" s="150">
        <f t="shared" si="4"/>
        <v>0</v>
      </c>
      <c r="J46" s="149">
        <f t="shared" si="3"/>
        <v>295.06724999999994</v>
      </c>
      <c r="K46" s="139">
        <f t="shared" si="4"/>
        <v>295.06724999999994</v>
      </c>
      <c r="L46" s="139">
        <f t="shared" si="4"/>
        <v>0</v>
      </c>
      <c r="N46" s="183"/>
      <c r="O46" s="183"/>
    </row>
    <row r="47" spans="1:15" s="23" customFormat="1" ht="19.5">
      <c r="A47" s="9" t="s">
        <v>18</v>
      </c>
      <c r="B47" s="10"/>
      <c r="C47" s="227">
        <v>211</v>
      </c>
      <c r="D47" s="149">
        <f t="shared" si="1"/>
        <v>218.03419</v>
      </c>
      <c r="E47" s="151">
        <f>E48+E49</f>
        <v>218.03419</v>
      </c>
      <c r="F47" s="151">
        <f t="shared" ref="F47:L47" si="5">F48+F49</f>
        <v>0</v>
      </c>
      <c r="G47" s="149">
        <f t="shared" si="2"/>
        <v>218.03419</v>
      </c>
      <c r="H47" s="151">
        <f t="shared" si="5"/>
        <v>218.03419</v>
      </c>
      <c r="I47" s="151">
        <f t="shared" si="5"/>
        <v>0</v>
      </c>
      <c r="J47" s="149">
        <f t="shared" si="3"/>
        <v>218.03418999999997</v>
      </c>
      <c r="K47" s="140">
        <f t="shared" si="5"/>
        <v>218.03418999999997</v>
      </c>
      <c r="L47" s="140">
        <f t="shared" si="5"/>
        <v>0</v>
      </c>
      <c r="N47" s="184"/>
      <c r="O47" s="184"/>
    </row>
    <row r="48" spans="1:15" ht="19.5">
      <c r="A48" s="13" t="s">
        <v>19</v>
      </c>
      <c r="B48" s="11">
        <v>111</v>
      </c>
      <c r="C48" s="228"/>
      <c r="D48" s="149">
        <f t="shared" si="1"/>
        <v>210.08301</v>
      </c>
      <c r="E48" s="152">
        <v>210.08301</v>
      </c>
      <c r="F48" s="152"/>
      <c r="G48" s="149">
        <f t="shared" si="2"/>
        <v>210.08301</v>
      </c>
      <c r="H48" s="152">
        <v>210.08301</v>
      </c>
      <c r="I48" s="152"/>
      <c r="J48" s="149">
        <f t="shared" si="3"/>
        <v>210.08300999999997</v>
      </c>
      <c r="K48" s="141">
        <f>26.611+38.48838+35.88926+21.9935+11.77316+2.02475+11.56425+0.12551+2.0332+10.96468+48.61532</f>
        <v>210.08300999999997</v>
      </c>
      <c r="L48" s="141"/>
      <c r="N48" s="185"/>
      <c r="O48" s="185"/>
    </row>
    <row r="49" spans="1:15" ht="19.5">
      <c r="A49" s="13" t="s">
        <v>154</v>
      </c>
      <c r="B49" s="11"/>
      <c r="C49" s="229"/>
      <c r="D49" s="149">
        <f t="shared" si="1"/>
        <v>7.9511799999999999</v>
      </c>
      <c r="E49" s="152">
        <v>7.9511799999999999</v>
      </c>
      <c r="F49" s="152"/>
      <c r="G49" s="149">
        <f t="shared" si="2"/>
        <v>7.9511799999999999</v>
      </c>
      <c r="H49" s="152">
        <v>7.9511799999999999</v>
      </c>
      <c r="I49" s="152"/>
      <c r="J49" s="149">
        <f t="shared" si="3"/>
        <v>7.9511799999999999</v>
      </c>
      <c r="K49" s="141">
        <f>7.95118</f>
        <v>7.9511799999999999</v>
      </c>
      <c r="L49" s="141"/>
      <c r="N49" s="185"/>
    </row>
    <row r="50" spans="1:15" s="23" customFormat="1" ht="27.75">
      <c r="A50" s="9" t="s">
        <v>20</v>
      </c>
      <c r="B50" s="10">
        <v>112</v>
      </c>
      <c r="C50" s="22">
        <v>212</v>
      </c>
      <c r="D50" s="149">
        <f t="shared" si="1"/>
        <v>11.6</v>
      </c>
      <c r="E50" s="153">
        <v>11.6</v>
      </c>
      <c r="F50" s="152"/>
      <c r="G50" s="149">
        <f t="shared" si="2"/>
        <v>0</v>
      </c>
      <c r="H50" s="153"/>
      <c r="I50" s="152"/>
      <c r="J50" s="149">
        <f t="shared" si="3"/>
        <v>11.600000000000001</v>
      </c>
      <c r="K50" s="141">
        <f>3.2+1.6+1.2+5.6</f>
        <v>11.600000000000001</v>
      </c>
      <c r="L50" s="141"/>
      <c r="N50" s="184"/>
      <c r="O50" s="184"/>
    </row>
    <row r="51" spans="1:15" s="23" customFormat="1" ht="19.5">
      <c r="A51" s="9" t="s">
        <v>21</v>
      </c>
      <c r="B51" s="10"/>
      <c r="C51" s="227">
        <v>213</v>
      </c>
      <c r="D51" s="149">
        <f t="shared" si="1"/>
        <v>65.433059999999998</v>
      </c>
      <c r="E51" s="151">
        <f>E52+E53</f>
        <v>65.433059999999998</v>
      </c>
      <c r="F51" s="151">
        <f t="shared" ref="F51:L51" si="6">F52+F53</f>
        <v>0</v>
      </c>
      <c r="G51" s="149">
        <f t="shared" si="2"/>
        <v>65.433059999999998</v>
      </c>
      <c r="H51" s="151">
        <f t="shared" si="6"/>
        <v>65.433059999999998</v>
      </c>
      <c r="I51" s="151">
        <f t="shared" si="6"/>
        <v>0</v>
      </c>
      <c r="J51" s="149">
        <f t="shared" si="3"/>
        <v>65.433059999999998</v>
      </c>
      <c r="K51" s="140">
        <f t="shared" si="6"/>
        <v>65.433059999999998</v>
      </c>
      <c r="L51" s="140">
        <f t="shared" si="6"/>
        <v>0</v>
      </c>
    </row>
    <row r="52" spans="1:15" ht="19.5">
      <c r="A52" s="13" t="s">
        <v>19</v>
      </c>
      <c r="B52" s="11"/>
      <c r="C52" s="228"/>
      <c r="D52" s="149">
        <f t="shared" si="1"/>
        <v>63.228870000000001</v>
      </c>
      <c r="E52" s="148">
        <v>63.228870000000001</v>
      </c>
      <c r="F52" s="148"/>
      <c r="G52" s="149">
        <f t="shared" si="2"/>
        <v>63.228870000000001</v>
      </c>
      <c r="H52" s="148">
        <v>63.228870000000001</v>
      </c>
      <c r="I52" s="148"/>
      <c r="J52" s="149">
        <f t="shared" si="3"/>
        <v>63.228870000000001</v>
      </c>
      <c r="K52" s="138">
        <f>8.03652+11.62349+9.0178+8.31917+4.73192+3.07761+0.29593-6.12486+0.29843+6.12486+17.828</f>
        <v>63.228870000000001</v>
      </c>
      <c r="L52" s="138"/>
      <c r="O52" s="185"/>
    </row>
    <row r="53" spans="1:15" ht="19.5">
      <c r="A53" s="13" t="s">
        <v>154</v>
      </c>
      <c r="B53" s="11"/>
      <c r="C53" s="229"/>
      <c r="D53" s="149">
        <f t="shared" si="1"/>
        <v>2.2041900000000001</v>
      </c>
      <c r="E53" s="148">
        <v>2.2041900000000001</v>
      </c>
      <c r="F53" s="148"/>
      <c r="G53" s="149">
        <f t="shared" si="2"/>
        <v>2.2041900000000001</v>
      </c>
      <c r="H53" s="148">
        <v>2.2041900000000001</v>
      </c>
      <c r="I53" s="148"/>
      <c r="J53" s="149">
        <f t="shared" si="3"/>
        <v>2.2041900000000001</v>
      </c>
      <c r="K53" s="138">
        <v>2.2041900000000001</v>
      </c>
      <c r="L53" s="138"/>
      <c r="N53" s="185"/>
    </row>
    <row r="54" spans="1:15" s="25" customFormat="1" ht="19.5">
      <c r="A54" s="1" t="s">
        <v>22</v>
      </c>
      <c r="B54" s="21">
        <v>244</v>
      </c>
      <c r="C54" s="21">
        <v>220</v>
      </c>
      <c r="D54" s="149">
        <f t="shared" si="1"/>
        <v>1032.44929</v>
      </c>
      <c r="E54" s="150">
        <f>E55+E56+E57+E74+E105+E128+E133</f>
        <v>948.65833000000009</v>
      </c>
      <c r="F54" s="150">
        <f t="shared" ref="F54:L54" si="7">F55+F56+F57+F74+F105+F128+F133</f>
        <v>83.790960000000013</v>
      </c>
      <c r="G54" s="149">
        <f t="shared" si="2"/>
        <v>1056.2988400000002</v>
      </c>
      <c r="H54" s="150">
        <f t="shared" si="7"/>
        <v>988.16676000000007</v>
      </c>
      <c r="I54" s="150">
        <f t="shared" si="7"/>
        <v>68.132080000000002</v>
      </c>
      <c r="J54" s="149">
        <f t="shared" si="3"/>
        <v>852.7158800000002</v>
      </c>
      <c r="K54" s="139">
        <f t="shared" si="7"/>
        <v>830.88588000000016</v>
      </c>
      <c r="L54" s="139">
        <f t="shared" si="7"/>
        <v>21.83</v>
      </c>
    </row>
    <row r="55" spans="1:15" s="23" customFormat="1" ht="19.5">
      <c r="A55" s="7" t="s">
        <v>23</v>
      </c>
      <c r="B55" s="10"/>
      <c r="C55" s="10">
        <v>221</v>
      </c>
      <c r="D55" s="149">
        <f t="shared" si="1"/>
        <v>0</v>
      </c>
      <c r="E55" s="152"/>
      <c r="F55" s="152"/>
      <c r="G55" s="149">
        <f t="shared" si="2"/>
        <v>0</v>
      </c>
      <c r="H55" s="152"/>
      <c r="I55" s="152"/>
      <c r="J55" s="149">
        <f t="shared" si="3"/>
        <v>0</v>
      </c>
      <c r="K55" s="141"/>
      <c r="L55" s="141"/>
    </row>
    <row r="56" spans="1:15" s="23" customFormat="1" ht="19.5">
      <c r="A56" s="7" t="s">
        <v>24</v>
      </c>
      <c r="B56" s="10"/>
      <c r="C56" s="10">
        <v>222</v>
      </c>
      <c r="D56" s="149">
        <f t="shared" si="1"/>
        <v>0</v>
      </c>
      <c r="E56" s="152"/>
      <c r="F56" s="152"/>
      <c r="G56" s="149">
        <f t="shared" si="2"/>
        <v>0</v>
      </c>
      <c r="H56" s="152"/>
      <c r="I56" s="152"/>
      <c r="J56" s="149">
        <f t="shared" si="3"/>
        <v>0</v>
      </c>
      <c r="K56" s="141"/>
      <c r="L56" s="141"/>
    </row>
    <row r="57" spans="1:15" s="23" customFormat="1" ht="19.5">
      <c r="A57" s="7" t="s">
        <v>25</v>
      </c>
      <c r="B57" s="10"/>
      <c r="C57" s="227">
        <v>223</v>
      </c>
      <c r="D57" s="149">
        <f t="shared" si="1"/>
        <v>31.914020000000001</v>
      </c>
      <c r="E57" s="151">
        <f>SUM(E58:E73)</f>
        <v>31.914020000000001</v>
      </c>
      <c r="F57" s="151">
        <f t="shared" ref="F57:L57" si="8">SUM(F58:F73)</f>
        <v>0</v>
      </c>
      <c r="G57" s="149">
        <f t="shared" si="2"/>
        <v>31.914020000000001</v>
      </c>
      <c r="H57" s="151">
        <f t="shared" si="8"/>
        <v>31.914020000000001</v>
      </c>
      <c r="I57" s="151">
        <f t="shared" si="8"/>
        <v>0</v>
      </c>
      <c r="J57" s="149">
        <f t="shared" si="3"/>
        <v>31.914019999999997</v>
      </c>
      <c r="K57" s="140">
        <f t="shared" si="8"/>
        <v>31.914019999999997</v>
      </c>
      <c r="L57" s="140">
        <f t="shared" si="8"/>
        <v>0</v>
      </c>
    </row>
    <row r="58" spans="1:15" ht="19.5">
      <c r="A58" s="5" t="s">
        <v>134</v>
      </c>
      <c r="B58" s="11"/>
      <c r="C58" s="228"/>
      <c r="D58" s="149">
        <f t="shared" si="1"/>
        <v>26.662120000000002</v>
      </c>
      <c r="E58" s="148">
        <v>26.662120000000002</v>
      </c>
      <c r="F58" s="148"/>
      <c r="G58" s="149">
        <f t="shared" si="2"/>
        <v>26.662120000000002</v>
      </c>
      <c r="H58" s="148">
        <v>26.662120000000002</v>
      </c>
      <c r="I58" s="148"/>
      <c r="J58" s="149">
        <f t="shared" si="3"/>
        <v>26.662119999999998</v>
      </c>
      <c r="K58" s="138">
        <f>9.83212+16.83</f>
        <v>26.662119999999998</v>
      </c>
      <c r="L58" s="138"/>
    </row>
    <row r="59" spans="1:15" ht="19.5" hidden="1">
      <c r="A59" s="5" t="s">
        <v>26</v>
      </c>
      <c r="B59" s="11"/>
      <c r="C59" s="228"/>
      <c r="D59" s="149">
        <f t="shared" si="1"/>
        <v>0</v>
      </c>
      <c r="E59" s="148"/>
      <c r="F59" s="148"/>
      <c r="G59" s="149">
        <f t="shared" si="2"/>
        <v>0</v>
      </c>
      <c r="H59" s="148"/>
      <c r="I59" s="148"/>
      <c r="J59" s="149">
        <f t="shared" si="3"/>
        <v>0</v>
      </c>
      <c r="K59" s="138"/>
      <c r="L59" s="138"/>
    </row>
    <row r="60" spans="1:15" ht="19.5" hidden="1">
      <c r="A60" s="5" t="s">
        <v>27</v>
      </c>
      <c r="B60" s="11"/>
      <c r="C60" s="228"/>
      <c r="D60" s="149">
        <f t="shared" si="1"/>
        <v>0</v>
      </c>
      <c r="E60" s="148"/>
      <c r="F60" s="148"/>
      <c r="G60" s="149">
        <f t="shared" si="2"/>
        <v>0</v>
      </c>
      <c r="H60" s="148"/>
      <c r="I60" s="148"/>
      <c r="J60" s="149">
        <f t="shared" si="3"/>
        <v>0</v>
      </c>
      <c r="K60" s="138"/>
      <c r="L60" s="138"/>
    </row>
    <row r="61" spans="1:15" ht="19.5" hidden="1">
      <c r="A61" s="5" t="s">
        <v>28</v>
      </c>
      <c r="B61" s="11"/>
      <c r="C61" s="228"/>
      <c r="D61" s="149">
        <f t="shared" si="1"/>
        <v>0</v>
      </c>
      <c r="E61" s="148"/>
      <c r="F61" s="148"/>
      <c r="G61" s="149">
        <f t="shared" si="2"/>
        <v>0</v>
      </c>
      <c r="H61" s="148"/>
      <c r="I61" s="148"/>
      <c r="J61" s="149">
        <f t="shared" si="3"/>
        <v>0</v>
      </c>
      <c r="K61" s="138"/>
      <c r="L61" s="138"/>
    </row>
    <row r="62" spans="1:15" ht="19.5" hidden="1">
      <c r="A62" s="5" t="s">
        <v>29</v>
      </c>
      <c r="B62" s="11"/>
      <c r="C62" s="228"/>
      <c r="D62" s="149">
        <f t="shared" si="1"/>
        <v>0</v>
      </c>
      <c r="E62" s="148"/>
      <c r="F62" s="148"/>
      <c r="G62" s="149">
        <f t="shared" si="2"/>
        <v>0</v>
      </c>
      <c r="H62" s="148"/>
      <c r="I62" s="148"/>
      <c r="J62" s="149">
        <f t="shared" si="3"/>
        <v>0</v>
      </c>
      <c r="K62" s="138"/>
      <c r="L62" s="138"/>
    </row>
    <row r="63" spans="1:15" ht="19.5" hidden="1">
      <c r="A63" s="5" t="s">
        <v>30</v>
      </c>
      <c r="B63" s="11"/>
      <c r="C63" s="228"/>
      <c r="D63" s="149">
        <f t="shared" si="1"/>
        <v>0</v>
      </c>
      <c r="E63" s="148"/>
      <c r="F63" s="148"/>
      <c r="G63" s="149">
        <f t="shared" si="2"/>
        <v>0</v>
      </c>
      <c r="H63" s="148"/>
      <c r="I63" s="148"/>
      <c r="J63" s="149">
        <f t="shared" si="3"/>
        <v>0</v>
      </c>
      <c r="K63" s="138"/>
      <c r="L63" s="138"/>
    </row>
    <row r="64" spans="1:15" ht="19.5" hidden="1">
      <c r="A64" s="5" t="s">
        <v>31</v>
      </c>
      <c r="B64" s="11"/>
      <c r="C64" s="228"/>
      <c r="D64" s="149">
        <f t="shared" si="1"/>
        <v>0</v>
      </c>
      <c r="E64" s="148"/>
      <c r="F64" s="148"/>
      <c r="G64" s="149">
        <f t="shared" si="2"/>
        <v>0</v>
      </c>
      <c r="H64" s="148"/>
      <c r="I64" s="148"/>
      <c r="J64" s="149">
        <f t="shared" si="3"/>
        <v>0</v>
      </c>
      <c r="K64" s="138"/>
      <c r="L64" s="138"/>
    </row>
    <row r="65" spans="1:12" ht="19.5" hidden="1">
      <c r="A65" s="5" t="s">
        <v>33</v>
      </c>
      <c r="B65" s="11"/>
      <c r="C65" s="228"/>
      <c r="D65" s="149">
        <f t="shared" si="1"/>
        <v>0</v>
      </c>
      <c r="E65" s="148"/>
      <c r="F65" s="148"/>
      <c r="G65" s="149">
        <f t="shared" si="2"/>
        <v>0</v>
      </c>
      <c r="H65" s="148"/>
      <c r="I65" s="148"/>
      <c r="J65" s="149">
        <f t="shared" si="3"/>
        <v>0</v>
      </c>
      <c r="K65" s="138"/>
      <c r="L65" s="138"/>
    </row>
    <row r="66" spans="1:12" ht="19.5" hidden="1">
      <c r="A66" s="5" t="s">
        <v>34</v>
      </c>
      <c r="B66" s="11"/>
      <c r="C66" s="228"/>
      <c r="D66" s="149">
        <f t="shared" si="1"/>
        <v>0</v>
      </c>
      <c r="E66" s="148"/>
      <c r="F66" s="148"/>
      <c r="G66" s="149">
        <f t="shared" si="2"/>
        <v>0</v>
      </c>
      <c r="H66" s="148"/>
      <c r="I66" s="148"/>
      <c r="J66" s="149">
        <f t="shared" si="3"/>
        <v>0</v>
      </c>
      <c r="K66" s="138"/>
      <c r="L66" s="138"/>
    </row>
    <row r="67" spans="1:12" ht="19.5" hidden="1">
      <c r="A67" s="5" t="s">
        <v>35</v>
      </c>
      <c r="B67" s="11"/>
      <c r="C67" s="228"/>
      <c r="D67" s="149">
        <f t="shared" si="1"/>
        <v>0</v>
      </c>
      <c r="E67" s="148"/>
      <c r="F67" s="148"/>
      <c r="G67" s="149">
        <f t="shared" si="2"/>
        <v>0</v>
      </c>
      <c r="H67" s="148"/>
      <c r="I67" s="148"/>
      <c r="J67" s="149">
        <f t="shared" si="3"/>
        <v>0</v>
      </c>
      <c r="K67" s="138"/>
      <c r="L67" s="138"/>
    </row>
    <row r="68" spans="1:12" ht="19.5" hidden="1">
      <c r="A68" s="5" t="s">
        <v>135</v>
      </c>
      <c r="B68" s="11"/>
      <c r="C68" s="228"/>
      <c r="D68" s="149">
        <f t="shared" si="1"/>
        <v>0</v>
      </c>
      <c r="E68" s="148"/>
      <c r="F68" s="148"/>
      <c r="G68" s="149">
        <f t="shared" si="2"/>
        <v>0</v>
      </c>
      <c r="H68" s="148"/>
      <c r="I68" s="148"/>
      <c r="J68" s="149">
        <f t="shared" si="3"/>
        <v>0</v>
      </c>
      <c r="K68" s="138"/>
      <c r="L68" s="138"/>
    </row>
    <row r="69" spans="1:12" ht="19.5" hidden="1">
      <c r="A69" s="5" t="s">
        <v>32</v>
      </c>
      <c r="B69" s="11"/>
      <c r="C69" s="228"/>
      <c r="D69" s="149">
        <f t="shared" si="1"/>
        <v>0</v>
      </c>
      <c r="E69" s="148"/>
      <c r="F69" s="148"/>
      <c r="G69" s="149">
        <f t="shared" si="2"/>
        <v>0</v>
      </c>
      <c r="H69" s="148"/>
      <c r="I69" s="148"/>
      <c r="J69" s="149">
        <f t="shared" si="3"/>
        <v>0</v>
      </c>
      <c r="K69" s="138"/>
      <c r="L69" s="138"/>
    </row>
    <row r="70" spans="1:12" s="163" customFormat="1" ht="19.5">
      <c r="A70" s="5" t="s">
        <v>156</v>
      </c>
      <c r="B70" s="11"/>
      <c r="C70" s="228"/>
      <c r="D70" s="149">
        <f t="shared" si="1"/>
        <v>5.2519</v>
      </c>
      <c r="E70" s="148">
        <v>5.2519</v>
      </c>
      <c r="F70" s="148"/>
      <c r="G70" s="149">
        <f t="shared" si="2"/>
        <v>5.2519</v>
      </c>
      <c r="H70" s="148">
        <v>5.2519</v>
      </c>
      <c r="I70" s="148"/>
      <c r="J70" s="149">
        <f t="shared" si="3"/>
        <v>5.2519</v>
      </c>
      <c r="K70" s="148">
        <v>5.2519</v>
      </c>
      <c r="L70" s="148"/>
    </row>
    <row r="71" spans="1:12" ht="19.5" hidden="1">
      <c r="A71" s="5"/>
      <c r="B71" s="11"/>
      <c r="C71" s="228"/>
      <c r="D71" s="149">
        <f t="shared" si="1"/>
        <v>0</v>
      </c>
      <c r="E71" s="148"/>
      <c r="F71" s="148"/>
      <c r="G71" s="149">
        <f t="shared" si="2"/>
        <v>0</v>
      </c>
      <c r="H71" s="148"/>
      <c r="I71" s="148"/>
      <c r="J71" s="149">
        <f t="shared" si="3"/>
        <v>0</v>
      </c>
      <c r="K71" s="138"/>
      <c r="L71" s="138"/>
    </row>
    <row r="72" spans="1:12" ht="19.5" hidden="1">
      <c r="A72" s="5"/>
      <c r="B72" s="11"/>
      <c r="C72" s="228"/>
      <c r="D72" s="149">
        <f t="shared" si="1"/>
        <v>0</v>
      </c>
      <c r="E72" s="148"/>
      <c r="F72" s="148"/>
      <c r="G72" s="149">
        <f t="shared" si="2"/>
        <v>0</v>
      </c>
      <c r="H72" s="148"/>
      <c r="I72" s="148"/>
      <c r="J72" s="149">
        <f t="shared" si="3"/>
        <v>0</v>
      </c>
      <c r="K72" s="138"/>
      <c r="L72" s="138"/>
    </row>
    <row r="73" spans="1:12" ht="19.5" hidden="1">
      <c r="A73" s="5"/>
      <c r="B73" s="11"/>
      <c r="C73" s="229"/>
      <c r="D73" s="149">
        <f t="shared" ref="D73:D139" si="9">E73+F73</f>
        <v>0</v>
      </c>
      <c r="E73" s="148"/>
      <c r="F73" s="148"/>
      <c r="G73" s="149">
        <f t="shared" ref="G73:G139" si="10">H73+I73</f>
        <v>0</v>
      </c>
      <c r="H73" s="148"/>
      <c r="I73" s="148"/>
      <c r="J73" s="149">
        <f t="shared" ref="J73:J139" si="11">K73+L73</f>
        <v>0</v>
      </c>
      <c r="K73" s="138"/>
      <c r="L73" s="138"/>
    </row>
    <row r="74" spans="1:12" s="23" customFormat="1" ht="19.5">
      <c r="A74" s="6" t="s">
        <v>36</v>
      </c>
      <c r="B74" s="10"/>
      <c r="C74" s="230">
        <v>225</v>
      </c>
      <c r="D74" s="149">
        <f t="shared" si="9"/>
        <v>759.05773999999997</v>
      </c>
      <c r="E74" s="154">
        <f>E75+E76+E77+E78+E79+E80+SUM(E93:E104)</f>
        <v>691.91678000000002</v>
      </c>
      <c r="F74" s="154">
        <f t="shared" ref="F74:L74" si="12">F75+F76+F77+F78+F79+F80+SUM(F93:F104)</f>
        <v>67.140960000000007</v>
      </c>
      <c r="G74" s="149">
        <f t="shared" si="10"/>
        <v>695.44952999999998</v>
      </c>
      <c r="H74" s="151">
        <f t="shared" si="12"/>
        <v>643.96744999999999</v>
      </c>
      <c r="I74" s="154">
        <f t="shared" si="12"/>
        <v>51.482079999999996</v>
      </c>
      <c r="J74" s="149">
        <f t="shared" si="11"/>
        <v>579.32433000000003</v>
      </c>
      <c r="K74" s="140">
        <f t="shared" si="12"/>
        <v>574.14433000000008</v>
      </c>
      <c r="L74" s="140">
        <f t="shared" si="12"/>
        <v>5.18</v>
      </c>
    </row>
    <row r="75" spans="1:12" ht="19.5" hidden="1">
      <c r="A75" s="4" t="s">
        <v>37</v>
      </c>
      <c r="B75" s="11"/>
      <c r="C75" s="231"/>
      <c r="D75" s="149">
        <f t="shared" si="9"/>
        <v>0</v>
      </c>
      <c r="E75" s="148"/>
      <c r="F75" s="148"/>
      <c r="G75" s="149">
        <f t="shared" si="10"/>
        <v>0</v>
      </c>
      <c r="H75" s="148"/>
      <c r="I75" s="148"/>
      <c r="J75" s="149">
        <f t="shared" si="11"/>
        <v>0</v>
      </c>
      <c r="K75" s="138"/>
      <c r="L75" s="138"/>
    </row>
    <row r="76" spans="1:12" ht="19.5" hidden="1">
      <c r="A76" s="8" t="s">
        <v>38</v>
      </c>
      <c r="B76" s="11"/>
      <c r="C76" s="231"/>
      <c r="D76" s="149">
        <f t="shared" si="9"/>
        <v>0</v>
      </c>
      <c r="E76" s="148"/>
      <c r="F76" s="148"/>
      <c r="G76" s="149">
        <f t="shared" si="10"/>
        <v>0</v>
      </c>
      <c r="H76" s="148"/>
      <c r="I76" s="148"/>
      <c r="J76" s="149">
        <f t="shared" si="11"/>
        <v>0</v>
      </c>
      <c r="K76" s="138"/>
      <c r="L76" s="138"/>
    </row>
    <row r="77" spans="1:12" ht="19.5" hidden="1">
      <c r="A77" s="4" t="s">
        <v>39</v>
      </c>
      <c r="B77" s="11"/>
      <c r="C77" s="231"/>
      <c r="D77" s="149">
        <f t="shared" si="9"/>
        <v>0</v>
      </c>
      <c r="E77" s="148"/>
      <c r="F77" s="148"/>
      <c r="G77" s="149">
        <f t="shared" si="10"/>
        <v>0</v>
      </c>
      <c r="H77" s="148"/>
      <c r="I77" s="148"/>
      <c r="J77" s="149">
        <f t="shared" si="11"/>
        <v>0</v>
      </c>
      <c r="K77" s="138"/>
      <c r="L77" s="138"/>
    </row>
    <row r="78" spans="1:12" ht="19.5" hidden="1">
      <c r="A78" s="8" t="s">
        <v>40</v>
      </c>
      <c r="B78" s="11"/>
      <c r="C78" s="231"/>
      <c r="D78" s="149">
        <f t="shared" si="9"/>
        <v>0</v>
      </c>
      <c r="E78" s="148"/>
      <c r="F78" s="148"/>
      <c r="G78" s="149">
        <f t="shared" si="10"/>
        <v>0</v>
      </c>
      <c r="H78" s="148"/>
      <c r="I78" s="148"/>
      <c r="J78" s="149">
        <f t="shared" si="11"/>
        <v>0</v>
      </c>
      <c r="K78" s="138"/>
      <c r="L78" s="138"/>
    </row>
    <row r="79" spans="1:12" ht="19.5" hidden="1">
      <c r="A79" s="8" t="s">
        <v>41</v>
      </c>
      <c r="B79" s="11"/>
      <c r="C79" s="231"/>
      <c r="D79" s="149">
        <f t="shared" si="9"/>
        <v>0</v>
      </c>
      <c r="E79" s="148"/>
      <c r="F79" s="148"/>
      <c r="G79" s="149">
        <f t="shared" si="10"/>
        <v>0</v>
      </c>
      <c r="H79" s="148"/>
      <c r="I79" s="148"/>
      <c r="J79" s="149">
        <f t="shared" si="11"/>
        <v>0</v>
      </c>
      <c r="K79" s="138"/>
      <c r="L79" s="138"/>
    </row>
    <row r="80" spans="1:12" s="112" customFormat="1" ht="19.5" hidden="1">
      <c r="A80" s="113" t="s">
        <v>42</v>
      </c>
      <c r="B80" s="111"/>
      <c r="C80" s="231"/>
      <c r="D80" s="149">
        <f t="shared" si="9"/>
        <v>0</v>
      </c>
      <c r="E80" s="155">
        <f>SUM(E81:E92)</f>
        <v>0</v>
      </c>
      <c r="F80" s="155">
        <f t="shared" ref="F80:L80" si="13">SUM(F81:F92)</f>
        <v>0</v>
      </c>
      <c r="G80" s="149">
        <f t="shared" si="10"/>
        <v>0</v>
      </c>
      <c r="H80" s="155">
        <f t="shared" si="13"/>
        <v>0</v>
      </c>
      <c r="I80" s="155">
        <f t="shared" si="13"/>
        <v>0</v>
      </c>
      <c r="J80" s="149">
        <f t="shared" si="11"/>
        <v>0</v>
      </c>
      <c r="K80" s="142">
        <f t="shared" si="13"/>
        <v>0</v>
      </c>
      <c r="L80" s="142">
        <f t="shared" si="13"/>
        <v>0</v>
      </c>
    </row>
    <row r="81" spans="1:14" ht="27.75" hidden="1">
      <c r="A81" s="14" t="s">
        <v>43</v>
      </c>
      <c r="B81" s="11"/>
      <c r="C81" s="231"/>
      <c r="D81" s="149">
        <f t="shared" si="9"/>
        <v>0</v>
      </c>
      <c r="E81" s="148"/>
      <c r="F81" s="148"/>
      <c r="G81" s="149">
        <f t="shared" si="10"/>
        <v>0</v>
      </c>
      <c r="H81" s="148"/>
      <c r="I81" s="148"/>
      <c r="J81" s="149">
        <f t="shared" si="11"/>
        <v>0</v>
      </c>
      <c r="K81" s="138"/>
      <c r="L81" s="138"/>
    </row>
    <row r="82" spans="1:14" ht="19.5" hidden="1">
      <c r="A82" s="15" t="s">
        <v>44</v>
      </c>
      <c r="B82" s="11"/>
      <c r="C82" s="231"/>
      <c r="D82" s="149">
        <f t="shared" si="9"/>
        <v>0</v>
      </c>
      <c r="E82" s="148"/>
      <c r="F82" s="148"/>
      <c r="G82" s="149">
        <f t="shared" si="10"/>
        <v>0</v>
      </c>
      <c r="H82" s="148"/>
      <c r="I82" s="148"/>
      <c r="J82" s="149">
        <f t="shared" si="11"/>
        <v>0</v>
      </c>
      <c r="K82" s="138"/>
      <c r="L82" s="138"/>
    </row>
    <row r="83" spans="1:14" ht="19.5" hidden="1">
      <c r="A83" s="16" t="s">
        <v>45</v>
      </c>
      <c r="B83" s="11"/>
      <c r="C83" s="231"/>
      <c r="D83" s="149">
        <f t="shared" si="9"/>
        <v>0</v>
      </c>
      <c r="E83" s="148"/>
      <c r="F83" s="148"/>
      <c r="G83" s="149">
        <f t="shared" si="10"/>
        <v>0</v>
      </c>
      <c r="H83" s="148"/>
      <c r="I83" s="148"/>
      <c r="J83" s="149">
        <f t="shared" si="11"/>
        <v>0</v>
      </c>
      <c r="K83" s="138"/>
      <c r="L83" s="138"/>
    </row>
    <row r="84" spans="1:14" ht="19.5" hidden="1">
      <c r="A84" s="15" t="s">
        <v>46</v>
      </c>
      <c r="B84" s="11"/>
      <c r="C84" s="231"/>
      <c r="D84" s="149">
        <f t="shared" si="9"/>
        <v>0</v>
      </c>
      <c r="E84" s="148"/>
      <c r="F84" s="148"/>
      <c r="G84" s="149">
        <f t="shared" si="10"/>
        <v>0</v>
      </c>
      <c r="H84" s="148"/>
      <c r="I84" s="148"/>
      <c r="J84" s="149">
        <f t="shared" si="11"/>
        <v>0</v>
      </c>
      <c r="K84" s="138"/>
      <c r="L84" s="138"/>
    </row>
    <row r="85" spans="1:14" ht="19.5" hidden="1">
      <c r="A85" s="14" t="s">
        <v>47</v>
      </c>
      <c r="B85" s="11"/>
      <c r="C85" s="231"/>
      <c r="D85" s="149">
        <f t="shared" si="9"/>
        <v>0</v>
      </c>
      <c r="E85" s="148"/>
      <c r="F85" s="148"/>
      <c r="G85" s="149">
        <f t="shared" si="10"/>
        <v>0</v>
      </c>
      <c r="H85" s="148"/>
      <c r="I85" s="148"/>
      <c r="J85" s="149">
        <f t="shared" si="11"/>
        <v>0</v>
      </c>
      <c r="K85" s="138"/>
      <c r="L85" s="138"/>
    </row>
    <row r="86" spans="1:14" ht="19.5" hidden="1">
      <c r="A86" s="14"/>
      <c r="B86" s="11"/>
      <c r="C86" s="231"/>
      <c r="D86" s="149">
        <f t="shared" si="9"/>
        <v>0</v>
      </c>
      <c r="E86" s="148"/>
      <c r="F86" s="148"/>
      <c r="G86" s="149">
        <f t="shared" si="10"/>
        <v>0</v>
      </c>
      <c r="H86" s="148"/>
      <c r="I86" s="148"/>
      <c r="J86" s="149">
        <f t="shared" si="11"/>
        <v>0</v>
      </c>
      <c r="K86" s="138"/>
      <c r="L86" s="138"/>
    </row>
    <row r="87" spans="1:14" ht="19.5" hidden="1">
      <c r="A87" s="17"/>
      <c r="B87" s="11"/>
      <c r="C87" s="231"/>
      <c r="D87" s="149">
        <f t="shared" si="9"/>
        <v>0</v>
      </c>
      <c r="E87" s="148"/>
      <c r="F87" s="148"/>
      <c r="G87" s="149">
        <f t="shared" si="10"/>
        <v>0</v>
      </c>
      <c r="H87" s="148"/>
      <c r="I87" s="148"/>
      <c r="J87" s="149">
        <f t="shared" si="11"/>
        <v>0</v>
      </c>
      <c r="K87" s="138"/>
      <c r="L87" s="138"/>
    </row>
    <row r="88" spans="1:14" ht="19.5" hidden="1">
      <c r="A88" s="14" t="s">
        <v>48</v>
      </c>
      <c r="B88" s="11"/>
      <c r="C88" s="231"/>
      <c r="D88" s="149">
        <f t="shared" si="9"/>
        <v>0</v>
      </c>
      <c r="E88" s="148"/>
      <c r="F88" s="148"/>
      <c r="G88" s="149">
        <f t="shared" si="10"/>
        <v>0</v>
      </c>
      <c r="H88" s="148"/>
      <c r="I88" s="148"/>
      <c r="J88" s="149">
        <f t="shared" si="11"/>
        <v>0</v>
      </c>
      <c r="K88" s="138"/>
      <c r="L88" s="138"/>
    </row>
    <row r="89" spans="1:14" ht="19.5" hidden="1">
      <c r="A89" s="14"/>
      <c r="B89" s="11"/>
      <c r="C89" s="231"/>
      <c r="D89" s="149">
        <f t="shared" si="9"/>
        <v>0</v>
      </c>
      <c r="E89" s="148"/>
      <c r="F89" s="148"/>
      <c r="G89" s="149">
        <f t="shared" si="10"/>
        <v>0</v>
      </c>
      <c r="H89" s="148"/>
      <c r="I89" s="148"/>
      <c r="J89" s="149">
        <f t="shared" si="11"/>
        <v>0</v>
      </c>
      <c r="K89" s="138"/>
      <c r="L89" s="138"/>
    </row>
    <row r="90" spans="1:14" ht="19.5" hidden="1">
      <c r="A90" s="14" t="s">
        <v>49</v>
      </c>
      <c r="B90" s="11"/>
      <c r="C90" s="231"/>
      <c r="D90" s="149">
        <f t="shared" si="9"/>
        <v>0</v>
      </c>
      <c r="E90" s="148"/>
      <c r="F90" s="148"/>
      <c r="G90" s="149">
        <f t="shared" si="10"/>
        <v>0</v>
      </c>
      <c r="H90" s="148"/>
      <c r="I90" s="148"/>
      <c r="J90" s="149">
        <f t="shared" si="11"/>
        <v>0</v>
      </c>
      <c r="K90" s="138"/>
      <c r="L90" s="138"/>
    </row>
    <row r="91" spans="1:14" ht="19.5" hidden="1">
      <c r="A91" s="14" t="s">
        <v>50</v>
      </c>
      <c r="B91" s="11"/>
      <c r="C91" s="231"/>
      <c r="D91" s="149">
        <f t="shared" si="9"/>
        <v>0</v>
      </c>
      <c r="E91" s="148"/>
      <c r="F91" s="148"/>
      <c r="G91" s="149">
        <f t="shared" si="10"/>
        <v>0</v>
      </c>
      <c r="H91" s="148"/>
      <c r="I91" s="148"/>
      <c r="J91" s="149">
        <f t="shared" si="11"/>
        <v>0</v>
      </c>
      <c r="K91" s="138"/>
      <c r="L91" s="138"/>
    </row>
    <row r="92" spans="1:14" ht="15.75" hidden="1" customHeight="1">
      <c r="A92" s="14"/>
      <c r="B92" s="11"/>
      <c r="C92" s="231"/>
      <c r="D92" s="149">
        <f t="shared" si="9"/>
        <v>0</v>
      </c>
      <c r="E92" s="148"/>
      <c r="F92" s="148"/>
      <c r="G92" s="149">
        <f t="shared" si="10"/>
        <v>0</v>
      </c>
      <c r="H92" s="148"/>
      <c r="I92" s="148"/>
      <c r="J92" s="149">
        <f t="shared" si="11"/>
        <v>0</v>
      </c>
      <c r="K92" s="138"/>
      <c r="L92" s="138"/>
      <c r="N92" s="110"/>
    </row>
    <row r="93" spans="1:14" ht="19.5" hidden="1">
      <c r="A93" s="8" t="s">
        <v>51</v>
      </c>
      <c r="B93" s="11"/>
      <c r="C93" s="231"/>
      <c r="D93" s="149">
        <f t="shared" si="9"/>
        <v>0</v>
      </c>
      <c r="E93" s="148"/>
      <c r="F93" s="148"/>
      <c r="G93" s="149">
        <f t="shared" si="10"/>
        <v>0</v>
      </c>
      <c r="H93" s="148"/>
      <c r="I93" s="148"/>
      <c r="J93" s="149">
        <f t="shared" si="11"/>
        <v>0</v>
      </c>
      <c r="K93" s="138"/>
      <c r="L93" s="138"/>
    </row>
    <row r="94" spans="1:14" ht="19.5" hidden="1">
      <c r="A94" s="4" t="s">
        <v>52</v>
      </c>
      <c r="B94" s="11"/>
      <c r="C94" s="231"/>
      <c r="D94" s="149">
        <f t="shared" si="9"/>
        <v>0</v>
      </c>
      <c r="E94" s="148"/>
      <c r="F94" s="148"/>
      <c r="G94" s="149">
        <f t="shared" si="10"/>
        <v>0</v>
      </c>
      <c r="H94" s="148"/>
      <c r="I94" s="148"/>
      <c r="J94" s="149">
        <f t="shared" si="11"/>
        <v>0</v>
      </c>
      <c r="K94" s="138"/>
      <c r="L94" s="138"/>
    </row>
    <row r="95" spans="1:14" ht="19.5">
      <c r="A95" s="12" t="s">
        <v>53</v>
      </c>
      <c r="B95" s="11"/>
      <c r="C95" s="231"/>
      <c r="D95" s="149">
        <f t="shared" si="9"/>
        <v>219.77341000000001</v>
      </c>
      <c r="E95" s="148">
        <f>34.86+117.77245</f>
        <v>152.63245000000001</v>
      </c>
      <c r="F95" s="148">
        <f>5.18+61.96096</f>
        <v>67.140960000000007</v>
      </c>
      <c r="G95" s="149">
        <f t="shared" si="10"/>
        <v>156.16519999999997</v>
      </c>
      <c r="H95" s="148">
        <f>34.86+132.87623-94.54621-0.5+31.9931</f>
        <v>104.68311999999997</v>
      </c>
      <c r="I95" s="148">
        <f>5.18+46.30208</f>
        <v>51.482079999999996</v>
      </c>
      <c r="J95" s="149">
        <f t="shared" si="11"/>
        <v>40.04</v>
      </c>
      <c r="K95" s="138">
        <f>0.62+0.3+11.9+1.42+4.3+5.98+4.04+6.3</f>
        <v>34.86</v>
      </c>
      <c r="L95" s="138">
        <f>3.29+1.89</f>
        <v>5.18</v>
      </c>
    </row>
    <row r="96" spans="1:14" ht="19.5">
      <c r="A96" s="8" t="s">
        <v>40</v>
      </c>
      <c r="B96" s="11"/>
      <c r="C96" s="231"/>
      <c r="D96" s="149">
        <f t="shared" si="9"/>
        <v>5.6424000000000003</v>
      </c>
      <c r="E96" s="148">
        <v>5.6424000000000003</v>
      </c>
      <c r="F96" s="148"/>
      <c r="G96" s="149">
        <f t="shared" si="10"/>
        <v>5.6424000000000003</v>
      </c>
      <c r="H96" s="148">
        <v>5.6424000000000003</v>
      </c>
      <c r="I96" s="148"/>
      <c r="J96" s="149">
        <f t="shared" si="11"/>
        <v>5.6424000000000003</v>
      </c>
      <c r="K96" s="138">
        <v>5.6424000000000003</v>
      </c>
      <c r="L96" s="138"/>
    </row>
    <row r="97" spans="1:14" ht="19.5">
      <c r="A97" s="8" t="s">
        <v>203</v>
      </c>
      <c r="B97" s="11"/>
      <c r="C97" s="231"/>
      <c r="D97" s="149">
        <f t="shared" si="9"/>
        <v>18</v>
      </c>
      <c r="E97" s="148">
        <v>18</v>
      </c>
      <c r="F97" s="148"/>
      <c r="G97" s="149">
        <f t="shared" si="10"/>
        <v>18</v>
      </c>
      <c r="H97" s="148">
        <v>18</v>
      </c>
      <c r="I97" s="148"/>
      <c r="J97" s="149">
        <f t="shared" si="11"/>
        <v>18</v>
      </c>
      <c r="K97" s="138">
        <f>10.5+7.5</f>
        <v>18</v>
      </c>
      <c r="L97" s="138"/>
    </row>
    <row r="98" spans="1:14" ht="19.5">
      <c r="A98" s="8" t="s">
        <v>230</v>
      </c>
      <c r="B98" s="11"/>
      <c r="C98" s="231"/>
      <c r="D98" s="149">
        <f t="shared" si="9"/>
        <v>3.5</v>
      </c>
      <c r="E98" s="148">
        <v>3.5</v>
      </c>
      <c r="F98" s="148"/>
      <c r="G98" s="149">
        <f t="shared" si="10"/>
        <v>3.5</v>
      </c>
      <c r="H98" s="148">
        <v>3.5</v>
      </c>
      <c r="I98" s="148"/>
      <c r="J98" s="149">
        <f t="shared" si="11"/>
        <v>3.5</v>
      </c>
      <c r="K98" s="138">
        <f>2.3+1.2</f>
        <v>3.5</v>
      </c>
      <c r="L98" s="138"/>
    </row>
    <row r="99" spans="1:14" ht="19.5">
      <c r="A99" s="8" t="s">
        <v>204</v>
      </c>
      <c r="B99" s="11"/>
      <c r="C99" s="231"/>
      <c r="D99" s="149">
        <f t="shared" si="9"/>
        <v>4.88</v>
      </c>
      <c r="E99" s="148">
        <v>4.88</v>
      </c>
      <c r="F99" s="148"/>
      <c r="G99" s="149">
        <f t="shared" si="10"/>
        <v>4.88</v>
      </c>
      <c r="H99" s="148">
        <v>4.88</v>
      </c>
      <c r="I99" s="148"/>
      <c r="J99" s="149">
        <f t="shared" si="11"/>
        <v>4.88</v>
      </c>
      <c r="K99" s="138">
        <f>1.1+0.78+3</f>
        <v>4.88</v>
      </c>
      <c r="L99" s="138"/>
    </row>
    <row r="100" spans="1:14" s="163" customFormat="1" ht="19.5">
      <c r="A100" s="8" t="s">
        <v>225</v>
      </c>
      <c r="B100" s="11"/>
      <c r="C100" s="231"/>
      <c r="D100" s="149">
        <f t="shared" si="9"/>
        <v>397.56200000000001</v>
      </c>
      <c r="E100" s="148">
        <v>397.56200000000001</v>
      </c>
      <c r="F100" s="148"/>
      <c r="G100" s="149">
        <f t="shared" si="10"/>
        <v>397.56200000000001</v>
      </c>
      <c r="H100" s="148">
        <v>397.56200000000001</v>
      </c>
      <c r="I100" s="148"/>
      <c r="J100" s="149">
        <f t="shared" si="11"/>
        <v>397.56200000000001</v>
      </c>
      <c r="K100" s="148">
        <f>307.384+90.178</f>
        <v>397.56200000000001</v>
      </c>
      <c r="L100" s="148"/>
    </row>
    <row r="101" spans="1:14" ht="19.5" hidden="1">
      <c r="A101" s="8"/>
      <c r="B101" s="11"/>
      <c r="C101" s="231"/>
      <c r="D101" s="149">
        <f t="shared" si="9"/>
        <v>0</v>
      </c>
      <c r="E101" s="148"/>
      <c r="F101" s="148"/>
      <c r="G101" s="149">
        <f t="shared" si="10"/>
        <v>0</v>
      </c>
      <c r="H101" s="148"/>
      <c r="I101" s="148"/>
      <c r="J101" s="149">
        <f t="shared" si="11"/>
        <v>0</v>
      </c>
      <c r="K101" s="138"/>
      <c r="L101" s="138"/>
    </row>
    <row r="102" spans="1:14" ht="19.5" hidden="1">
      <c r="A102" s="8"/>
      <c r="B102" s="11"/>
      <c r="C102" s="231"/>
      <c r="D102" s="149">
        <f t="shared" si="9"/>
        <v>0</v>
      </c>
      <c r="E102" s="148"/>
      <c r="F102" s="148"/>
      <c r="G102" s="149">
        <f t="shared" si="10"/>
        <v>0</v>
      </c>
      <c r="H102" s="148"/>
      <c r="I102" s="148"/>
      <c r="J102" s="149">
        <f t="shared" si="11"/>
        <v>0</v>
      </c>
      <c r="K102" s="138"/>
      <c r="L102" s="138"/>
    </row>
    <row r="103" spans="1:14" ht="19.5" hidden="1">
      <c r="A103" s="8"/>
      <c r="B103" s="11"/>
      <c r="C103" s="231"/>
      <c r="D103" s="149">
        <f t="shared" si="9"/>
        <v>0</v>
      </c>
      <c r="E103" s="148"/>
      <c r="F103" s="148"/>
      <c r="G103" s="149">
        <f t="shared" si="10"/>
        <v>0</v>
      </c>
      <c r="H103" s="148"/>
      <c r="I103" s="148"/>
      <c r="J103" s="149">
        <f t="shared" si="11"/>
        <v>0</v>
      </c>
      <c r="K103" s="138"/>
      <c r="L103" s="138"/>
    </row>
    <row r="104" spans="1:14" ht="19.5">
      <c r="A104" s="4" t="s">
        <v>67</v>
      </c>
      <c r="B104" s="11"/>
      <c r="C104" s="232"/>
      <c r="D104" s="149">
        <f t="shared" si="9"/>
        <v>109.69992999999999</v>
      </c>
      <c r="E104" s="148">
        <v>109.69992999999999</v>
      </c>
      <c r="F104" s="148"/>
      <c r="G104" s="149">
        <f t="shared" si="10"/>
        <v>109.69992999999999</v>
      </c>
      <c r="H104" s="148">
        <v>109.69992999999999</v>
      </c>
      <c r="I104" s="148"/>
      <c r="J104" s="149">
        <f t="shared" si="11"/>
        <v>109.69992999999999</v>
      </c>
      <c r="K104" s="138">
        <f>30.14345+34.84656+0.04249+1.2+0.5+42.96743</f>
        <v>109.69992999999999</v>
      </c>
      <c r="L104" s="138"/>
      <c r="N104" s="185"/>
    </row>
    <row r="105" spans="1:14" s="23" customFormat="1" ht="19.5">
      <c r="A105" s="7" t="s">
        <v>55</v>
      </c>
      <c r="B105" s="10"/>
      <c r="C105" s="230">
        <v>226</v>
      </c>
      <c r="D105" s="149">
        <f t="shared" si="9"/>
        <v>241.47753</v>
      </c>
      <c r="E105" s="151">
        <f>SUM(E106:E127)</f>
        <v>224.82753</v>
      </c>
      <c r="F105" s="151">
        <f t="shared" ref="F105:L105" si="14">SUM(F106:F127)</f>
        <v>16.649999999999999</v>
      </c>
      <c r="G105" s="149">
        <f t="shared" si="10"/>
        <v>328.93529000000001</v>
      </c>
      <c r="H105" s="151">
        <f t="shared" si="14"/>
        <v>312.28529000000003</v>
      </c>
      <c r="I105" s="151">
        <f t="shared" si="14"/>
        <v>16.649999999999999</v>
      </c>
      <c r="J105" s="149">
        <f t="shared" si="11"/>
        <v>241.47753</v>
      </c>
      <c r="K105" s="140">
        <f t="shared" si="14"/>
        <v>224.82753</v>
      </c>
      <c r="L105" s="140">
        <f t="shared" si="14"/>
        <v>16.649999999999999</v>
      </c>
    </row>
    <row r="106" spans="1:14" ht="26.25" customHeight="1">
      <c r="A106" s="18" t="s">
        <v>62</v>
      </c>
      <c r="B106" s="11"/>
      <c r="C106" s="231"/>
      <c r="D106" s="149">
        <f t="shared" si="9"/>
        <v>7.1525999999999996</v>
      </c>
      <c r="E106" s="148">
        <v>7.1525999999999996</v>
      </c>
      <c r="F106" s="148"/>
      <c r="G106" s="149">
        <f t="shared" si="10"/>
        <v>7.1525999999999996</v>
      </c>
      <c r="H106" s="148">
        <v>7.1525999999999996</v>
      </c>
      <c r="I106" s="148"/>
      <c r="J106" s="149">
        <f t="shared" si="11"/>
        <v>7.1525999999999996</v>
      </c>
      <c r="K106" s="138">
        <f>2.358+4.7946</f>
        <v>7.1525999999999996</v>
      </c>
      <c r="L106" s="138"/>
    </row>
    <row r="107" spans="1:14" ht="19.5">
      <c r="A107" s="4" t="s">
        <v>57</v>
      </c>
      <c r="B107" s="11"/>
      <c r="C107" s="231"/>
      <c r="D107" s="149">
        <f t="shared" si="9"/>
        <v>0</v>
      </c>
      <c r="E107" s="148">
        <v>0</v>
      </c>
      <c r="F107" s="148"/>
      <c r="G107" s="149">
        <f t="shared" si="10"/>
        <v>0</v>
      </c>
      <c r="H107" s="148">
        <v>0</v>
      </c>
      <c r="I107" s="148"/>
      <c r="J107" s="149">
        <f t="shared" si="11"/>
        <v>0</v>
      </c>
      <c r="K107" s="138">
        <v>0</v>
      </c>
      <c r="L107" s="138"/>
    </row>
    <row r="108" spans="1:14" ht="27.75" hidden="1">
      <c r="A108" s="8" t="s">
        <v>58</v>
      </c>
      <c r="B108" s="11"/>
      <c r="C108" s="231"/>
      <c r="D108" s="149">
        <f t="shared" si="9"/>
        <v>0</v>
      </c>
      <c r="E108" s="148"/>
      <c r="F108" s="148"/>
      <c r="G108" s="149">
        <f t="shared" si="10"/>
        <v>0</v>
      </c>
      <c r="H108" s="148"/>
      <c r="I108" s="148"/>
      <c r="J108" s="149">
        <f t="shared" si="11"/>
        <v>0</v>
      </c>
      <c r="K108" s="138"/>
      <c r="L108" s="138"/>
    </row>
    <row r="109" spans="1:14" ht="19.5" hidden="1">
      <c r="A109" s="4" t="s">
        <v>139</v>
      </c>
      <c r="B109" s="11"/>
      <c r="C109" s="231"/>
      <c r="D109" s="149">
        <f t="shared" si="9"/>
        <v>0</v>
      </c>
      <c r="E109" s="148"/>
      <c r="F109" s="148"/>
      <c r="G109" s="149">
        <f t="shared" si="10"/>
        <v>0</v>
      </c>
      <c r="H109" s="148"/>
      <c r="I109" s="148"/>
      <c r="J109" s="149">
        <f t="shared" si="11"/>
        <v>0</v>
      </c>
      <c r="K109" s="138"/>
      <c r="L109" s="138"/>
    </row>
    <row r="110" spans="1:14" ht="19.5">
      <c r="A110" s="8" t="s">
        <v>59</v>
      </c>
      <c r="B110" s="11"/>
      <c r="C110" s="231"/>
      <c r="D110" s="149">
        <f t="shared" si="9"/>
        <v>3.8494899999999999</v>
      </c>
      <c r="E110" s="148">
        <v>3.8494899999999999</v>
      </c>
      <c r="F110" s="148"/>
      <c r="G110" s="149">
        <f t="shared" si="10"/>
        <v>3.8494899999999999</v>
      </c>
      <c r="H110" s="148">
        <v>3.8494899999999999</v>
      </c>
      <c r="I110" s="148"/>
      <c r="J110" s="149">
        <f t="shared" si="11"/>
        <v>3.8494900000000003</v>
      </c>
      <c r="K110" s="138">
        <f>1.71439+2.1351</f>
        <v>3.8494900000000003</v>
      </c>
      <c r="L110" s="138"/>
      <c r="N110" s="185"/>
    </row>
    <row r="111" spans="1:14" ht="19.5" hidden="1">
      <c r="A111" s="4"/>
      <c r="B111" s="11"/>
      <c r="C111" s="231"/>
      <c r="D111" s="149">
        <f t="shared" si="9"/>
        <v>0</v>
      </c>
      <c r="E111" s="148"/>
      <c r="F111" s="148"/>
      <c r="G111" s="149">
        <f t="shared" si="10"/>
        <v>0</v>
      </c>
      <c r="H111" s="148"/>
      <c r="I111" s="148"/>
      <c r="J111" s="149">
        <f t="shared" si="11"/>
        <v>0</v>
      </c>
      <c r="K111" s="138"/>
      <c r="L111" s="138"/>
    </row>
    <row r="112" spans="1:14" ht="19.5">
      <c r="A112" s="4" t="s">
        <v>227</v>
      </c>
      <c r="B112" s="11"/>
      <c r="C112" s="231"/>
      <c r="D112" s="149">
        <f t="shared" si="9"/>
        <v>1.3</v>
      </c>
      <c r="E112" s="148">
        <v>1.3</v>
      </c>
      <c r="F112" s="148"/>
      <c r="G112" s="149">
        <f t="shared" si="10"/>
        <v>1.3</v>
      </c>
      <c r="H112" s="148">
        <v>1.3</v>
      </c>
      <c r="I112" s="148"/>
      <c r="J112" s="149">
        <f t="shared" si="11"/>
        <v>1.3</v>
      </c>
      <c r="K112" s="138">
        <v>1.3</v>
      </c>
      <c r="L112" s="138"/>
    </row>
    <row r="113" spans="1:14" ht="19.5" hidden="1">
      <c r="A113" s="4" t="s">
        <v>61</v>
      </c>
      <c r="B113" s="11"/>
      <c r="C113" s="231"/>
      <c r="D113" s="149">
        <f t="shared" si="9"/>
        <v>0</v>
      </c>
      <c r="E113" s="148"/>
      <c r="F113" s="148"/>
      <c r="G113" s="149">
        <f t="shared" si="10"/>
        <v>0</v>
      </c>
      <c r="H113" s="148"/>
      <c r="I113" s="148"/>
      <c r="J113" s="149">
        <f t="shared" si="11"/>
        <v>0</v>
      </c>
      <c r="K113" s="138"/>
      <c r="L113" s="138"/>
    </row>
    <row r="114" spans="1:14" ht="19.5" hidden="1">
      <c r="A114" s="4" t="s">
        <v>62</v>
      </c>
      <c r="B114" s="11"/>
      <c r="C114" s="231"/>
      <c r="D114" s="149">
        <f t="shared" si="9"/>
        <v>0</v>
      </c>
      <c r="E114" s="148"/>
      <c r="F114" s="148"/>
      <c r="G114" s="149">
        <f t="shared" si="10"/>
        <v>0</v>
      </c>
      <c r="H114" s="148"/>
      <c r="I114" s="148"/>
      <c r="J114" s="149">
        <f t="shared" si="11"/>
        <v>0</v>
      </c>
      <c r="K114" s="138"/>
      <c r="L114" s="138"/>
    </row>
    <row r="115" spans="1:14" ht="19.5" hidden="1">
      <c r="A115" s="19"/>
      <c r="B115" s="11"/>
      <c r="C115" s="231"/>
      <c r="D115" s="149">
        <f t="shared" si="9"/>
        <v>0</v>
      </c>
      <c r="E115" s="148"/>
      <c r="F115" s="148"/>
      <c r="G115" s="149">
        <f t="shared" si="10"/>
        <v>0</v>
      </c>
      <c r="H115" s="148"/>
      <c r="I115" s="148"/>
      <c r="J115" s="149">
        <f t="shared" si="11"/>
        <v>0</v>
      </c>
      <c r="K115" s="138"/>
      <c r="L115" s="138"/>
    </row>
    <row r="116" spans="1:14" ht="20.25" customHeight="1">
      <c r="A116" s="4" t="s">
        <v>63</v>
      </c>
      <c r="B116" s="11"/>
      <c r="C116" s="231"/>
      <c r="D116" s="149">
        <f t="shared" si="9"/>
        <v>20</v>
      </c>
      <c r="E116" s="148">
        <v>20</v>
      </c>
      <c r="F116" s="148"/>
      <c r="G116" s="149">
        <f t="shared" si="10"/>
        <v>20</v>
      </c>
      <c r="H116" s="148">
        <v>20</v>
      </c>
      <c r="I116" s="148"/>
      <c r="J116" s="149">
        <f t="shared" si="11"/>
        <v>20</v>
      </c>
      <c r="K116" s="138">
        <v>20</v>
      </c>
      <c r="L116" s="138"/>
    </row>
    <row r="117" spans="1:14" ht="19.5" hidden="1">
      <c r="A117" s="8"/>
      <c r="B117" s="11"/>
      <c r="C117" s="231"/>
      <c r="D117" s="149">
        <f t="shared" si="9"/>
        <v>0</v>
      </c>
      <c r="E117" s="148"/>
      <c r="F117" s="148"/>
      <c r="G117" s="149">
        <f t="shared" si="10"/>
        <v>0</v>
      </c>
      <c r="H117" s="148"/>
      <c r="I117" s="148"/>
      <c r="J117" s="149">
        <f t="shared" si="11"/>
        <v>0</v>
      </c>
      <c r="K117" s="138"/>
      <c r="L117" s="138"/>
    </row>
    <row r="118" spans="1:14" ht="19.5" hidden="1">
      <c r="A118" s="4"/>
      <c r="B118" s="11"/>
      <c r="C118" s="231"/>
      <c r="D118" s="149">
        <f t="shared" si="9"/>
        <v>0</v>
      </c>
      <c r="E118" s="148"/>
      <c r="F118" s="148"/>
      <c r="G118" s="149">
        <f t="shared" si="10"/>
        <v>0</v>
      </c>
      <c r="H118" s="148"/>
      <c r="I118" s="148"/>
      <c r="J118" s="149">
        <f t="shared" si="11"/>
        <v>0</v>
      </c>
      <c r="K118" s="138"/>
      <c r="L118" s="138"/>
    </row>
    <row r="119" spans="1:14" ht="19.5">
      <c r="A119" s="4" t="s">
        <v>228</v>
      </c>
      <c r="B119" s="11"/>
      <c r="C119" s="231"/>
      <c r="D119" s="149">
        <f t="shared" si="9"/>
        <v>17.794</v>
      </c>
      <c r="E119" s="148">
        <v>17.794</v>
      </c>
      <c r="F119" s="148"/>
      <c r="G119" s="149">
        <f t="shared" si="10"/>
        <v>17.794</v>
      </c>
      <c r="H119" s="148">
        <v>17.794</v>
      </c>
      <c r="I119" s="148"/>
      <c r="J119" s="149">
        <f t="shared" si="11"/>
        <v>17.794</v>
      </c>
      <c r="K119" s="138">
        <f>11.5+3.1165+3.1775</f>
        <v>17.794</v>
      </c>
      <c r="L119" s="138"/>
    </row>
    <row r="120" spans="1:14" ht="19.5">
      <c r="A120" s="4" t="s">
        <v>173</v>
      </c>
      <c r="B120" s="11"/>
      <c r="C120" s="231"/>
      <c r="D120" s="149">
        <f t="shared" si="9"/>
        <v>34.206000000000003</v>
      </c>
      <c r="E120" s="148">
        <v>34.206000000000003</v>
      </c>
      <c r="F120" s="148"/>
      <c r="G120" s="149">
        <f t="shared" si="10"/>
        <v>34.206000000000003</v>
      </c>
      <c r="H120" s="148">
        <v>34.206000000000003</v>
      </c>
      <c r="I120" s="148"/>
      <c r="J120" s="149">
        <f t="shared" si="11"/>
        <v>34.205999999999996</v>
      </c>
      <c r="K120" s="138">
        <f>0.8+4.48+2.88+4.2+11.516+1.9+0.75+7.68</f>
        <v>34.205999999999996</v>
      </c>
      <c r="L120" s="138"/>
    </row>
    <row r="121" spans="1:14" ht="19.5">
      <c r="A121" s="4" t="s">
        <v>174</v>
      </c>
      <c r="B121" s="11"/>
      <c r="C121" s="231"/>
      <c r="D121" s="149">
        <f t="shared" si="9"/>
        <v>1.996</v>
      </c>
      <c r="E121" s="148">
        <v>1.996</v>
      </c>
      <c r="F121" s="148"/>
      <c r="G121" s="149">
        <f t="shared" si="10"/>
        <v>1.996</v>
      </c>
      <c r="H121" s="148">
        <v>1.996</v>
      </c>
      <c r="I121" s="148"/>
      <c r="J121" s="149">
        <f t="shared" si="11"/>
        <v>1.996</v>
      </c>
      <c r="K121" s="138">
        <v>1.996</v>
      </c>
      <c r="L121" s="138"/>
    </row>
    <row r="122" spans="1:14" ht="19.5">
      <c r="A122" s="4" t="s">
        <v>60</v>
      </c>
      <c r="B122" s="11"/>
      <c r="C122" s="231"/>
      <c r="D122" s="149">
        <f t="shared" si="9"/>
        <v>37.341999999999999</v>
      </c>
      <c r="E122" s="148">
        <v>31.942</v>
      </c>
      <c r="F122" s="148">
        <v>5.4</v>
      </c>
      <c r="G122" s="149">
        <f t="shared" si="10"/>
        <v>37.341999999999999</v>
      </c>
      <c r="H122" s="148">
        <v>31.942</v>
      </c>
      <c r="I122" s="148">
        <v>5.4</v>
      </c>
      <c r="J122" s="149">
        <f t="shared" si="11"/>
        <v>37.341999999999999</v>
      </c>
      <c r="K122" s="138">
        <f>1.8+1.2521-1.2521+0.998+22.544+6.6</f>
        <v>31.942</v>
      </c>
      <c r="L122" s="138">
        <v>5.4</v>
      </c>
      <c r="N122" s="185"/>
    </row>
    <row r="123" spans="1:14" ht="19.5">
      <c r="A123" s="4" t="s">
        <v>206</v>
      </c>
      <c r="B123" s="11"/>
      <c r="C123" s="231"/>
      <c r="D123" s="149">
        <f t="shared" si="9"/>
        <v>1.9</v>
      </c>
      <c r="E123" s="148">
        <v>1.9</v>
      </c>
      <c r="F123" s="148">
        <v>0</v>
      </c>
      <c r="G123" s="149">
        <f t="shared" si="10"/>
        <v>1.9</v>
      </c>
      <c r="H123" s="148">
        <v>1.9</v>
      </c>
      <c r="I123" s="148"/>
      <c r="J123" s="149">
        <f t="shared" si="11"/>
        <v>1.9</v>
      </c>
      <c r="K123" s="138">
        <v>1.9</v>
      </c>
      <c r="L123" s="138"/>
    </row>
    <row r="124" spans="1:14" ht="19.5">
      <c r="A124" s="4" t="s">
        <v>183</v>
      </c>
      <c r="B124" s="11"/>
      <c r="C124" s="231"/>
      <c r="D124" s="149">
        <f t="shared" si="9"/>
        <v>1.9199999999999998E-2</v>
      </c>
      <c r="E124" s="148">
        <v>1.9199999999999998E-2</v>
      </c>
      <c r="F124" s="148"/>
      <c r="G124" s="149">
        <f t="shared" si="10"/>
        <v>1.9199999999999998E-2</v>
      </c>
      <c r="H124" s="148">
        <v>1.9199999999999998E-2</v>
      </c>
      <c r="I124" s="148"/>
      <c r="J124" s="149">
        <f t="shared" si="11"/>
        <v>1.9199999999999998E-2</v>
      </c>
      <c r="K124" s="138">
        <v>1.9199999999999998E-2</v>
      </c>
      <c r="L124" s="138"/>
    </row>
    <row r="125" spans="1:14" ht="19.5">
      <c r="A125" s="4" t="s">
        <v>61</v>
      </c>
      <c r="B125" s="11"/>
      <c r="C125" s="231"/>
      <c r="D125" s="149">
        <f t="shared" si="9"/>
        <v>5.6</v>
      </c>
      <c r="E125" s="148">
        <v>5.6</v>
      </c>
      <c r="F125" s="148"/>
      <c r="G125" s="149">
        <f t="shared" si="10"/>
        <v>5.6</v>
      </c>
      <c r="H125" s="148">
        <v>5.6</v>
      </c>
      <c r="I125" s="148"/>
      <c r="J125" s="149">
        <f t="shared" si="11"/>
        <v>5.6000000000000005</v>
      </c>
      <c r="K125" s="138">
        <f>4.9+0.7</f>
        <v>5.6000000000000005</v>
      </c>
      <c r="L125" s="138"/>
    </row>
    <row r="126" spans="1:14" ht="19.5">
      <c r="A126" s="4" t="s">
        <v>207</v>
      </c>
      <c r="B126" s="11"/>
      <c r="C126" s="231"/>
      <c r="D126" s="149">
        <f t="shared" si="9"/>
        <v>4.4000000000000004</v>
      </c>
      <c r="E126" s="148">
        <v>4.4000000000000004</v>
      </c>
      <c r="F126" s="148"/>
      <c r="G126" s="149">
        <f t="shared" si="10"/>
        <v>4.4000000000000004</v>
      </c>
      <c r="H126" s="148">
        <v>4.4000000000000004</v>
      </c>
      <c r="I126" s="148"/>
      <c r="J126" s="149">
        <f t="shared" si="11"/>
        <v>4.4000000000000004</v>
      </c>
      <c r="K126" s="138">
        <v>4.4000000000000004</v>
      </c>
      <c r="L126" s="138"/>
    </row>
    <row r="127" spans="1:14" ht="19.5">
      <c r="A127" s="4" t="s">
        <v>67</v>
      </c>
      <c r="B127" s="11"/>
      <c r="C127" s="232"/>
      <c r="D127" s="149">
        <f t="shared" si="9"/>
        <v>105.91824</v>
      </c>
      <c r="E127" s="156">
        <v>94.668239999999997</v>
      </c>
      <c r="F127" s="156">
        <v>11.25</v>
      </c>
      <c r="G127" s="149">
        <f t="shared" si="10"/>
        <v>193.376</v>
      </c>
      <c r="H127" s="156">
        <f>128.826+48.5+4.8</f>
        <v>182.126</v>
      </c>
      <c r="I127" s="156">
        <v>11.25</v>
      </c>
      <c r="J127" s="149">
        <f t="shared" si="11"/>
        <v>105.91824000000003</v>
      </c>
      <c r="K127" s="172">
        <f>128.826+48.5+4.8-1.9+30.91824-64.413-64.413+0.65+1.7+10</f>
        <v>94.668240000000026</v>
      </c>
      <c r="L127" s="138">
        <v>11.25</v>
      </c>
    </row>
    <row r="128" spans="1:14" s="23" customFormat="1" ht="19.5">
      <c r="A128" s="9" t="s">
        <v>68</v>
      </c>
      <c r="B128" s="10"/>
      <c r="C128" s="230">
        <v>227</v>
      </c>
      <c r="D128" s="149">
        <f t="shared" si="9"/>
        <v>0</v>
      </c>
      <c r="E128" s="151">
        <f>SUM(E129:E132)</f>
        <v>0</v>
      </c>
      <c r="F128" s="154">
        <f>SUM(F129:F132)</f>
        <v>0</v>
      </c>
      <c r="G128" s="149">
        <f t="shared" si="10"/>
        <v>0</v>
      </c>
      <c r="H128" s="151">
        <f>SUM(H129:H132)</f>
        <v>0</v>
      </c>
      <c r="I128" s="151">
        <f>SUM(I129:I132)</f>
        <v>0</v>
      </c>
      <c r="J128" s="149">
        <f t="shared" si="11"/>
        <v>0</v>
      </c>
      <c r="K128" s="140">
        <f>SUM(K129:K132)</f>
        <v>0</v>
      </c>
      <c r="L128" s="140">
        <f>SUM(L129:L132)</f>
        <v>0</v>
      </c>
    </row>
    <row r="129" spans="1:12" s="23" customFormat="1" ht="27.75" customHeight="1">
      <c r="A129" s="4" t="s">
        <v>68</v>
      </c>
      <c r="B129" s="10"/>
      <c r="C129" s="231"/>
      <c r="D129" s="149">
        <f t="shared" si="9"/>
        <v>0</v>
      </c>
      <c r="E129" s="151"/>
      <c r="F129" s="151"/>
      <c r="G129" s="149">
        <f t="shared" si="10"/>
        <v>0</v>
      </c>
      <c r="H129" s="151"/>
      <c r="I129" s="151"/>
      <c r="J129" s="149">
        <f t="shared" si="11"/>
        <v>0</v>
      </c>
      <c r="K129" s="140"/>
      <c r="L129" s="140"/>
    </row>
    <row r="130" spans="1:12" s="23" customFormat="1" ht="19.5" hidden="1">
      <c r="A130" s="9"/>
      <c r="B130" s="10"/>
      <c r="C130" s="231"/>
      <c r="D130" s="149">
        <f t="shared" si="9"/>
        <v>0</v>
      </c>
      <c r="E130" s="151"/>
      <c r="F130" s="151"/>
      <c r="G130" s="149">
        <f t="shared" si="10"/>
        <v>0</v>
      </c>
      <c r="H130" s="151"/>
      <c r="I130" s="151"/>
      <c r="J130" s="149">
        <f t="shared" si="11"/>
        <v>0</v>
      </c>
      <c r="K130" s="140"/>
      <c r="L130" s="140"/>
    </row>
    <row r="131" spans="1:12" s="23" customFormat="1" ht="19.5" hidden="1">
      <c r="A131" s="9"/>
      <c r="B131" s="10"/>
      <c r="C131" s="231"/>
      <c r="D131" s="149">
        <f t="shared" si="9"/>
        <v>0</v>
      </c>
      <c r="E131" s="151"/>
      <c r="F131" s="151"/>
      <c r="G131" s="149">
        <f t="shared" si="10"/>
        <v>0</v>
      </c>
      <c r="H131" s="151"/>
      <c r="I131" s="151"/>
      <c r="J131" s="149">
        <f t="shared" si="11"/>
        <v>0</v>
      </c>
      <c r="K131" s="140"/>
      <c r="L131" s="140"/>
    </row>
    <row r="132" spans="1:12" ht="19.5" hidden="1">
      <c r="A132" s="4"/>
      <c r="B132" s="11"/>
      <c r="C132" s="232"/>
      <c r="D132" s="149">
        <f t="shared" si="9"/>
        <v>0</v>
      </c>
      <c r="E132" s="148"/>
      <c r="F132" s="148"/>
      <c r="G132" s="149">
        <f t="shared" si="10"/>
        <v>0</v>
      </c>
      <c r="H132" s="148"/>
      <c r="I132" s="148"/>
      <c r="J132" s="149">
        <f t="shared" si="11"/>
        <v>0</v>
      </c>
      <c r="K132" s="138"/>
      <c r="L132" s="138"/>
    </row>
    <row r="133" spans="1:12" s="23" customFormat="1" ht="19.5">
      <c r="A133" s="6" t="s">
        <v>70</v>
      </c>
      <c r="B133" s="10"/>
      <c r="C133" s="230">
        <v>228</v>
      </c>
      <c r="D133" s="149">
        <f t="shared" si="9"/>
        <v>0</v>
      </c>
      <c r="E133" s="151">
        <f>SUM(E134:E138)</f>
        <v>0</v>
      </c>
      <c r="F133" s="151">
        <f>SUM(F134:F138)</f>
        <v>0</v>
      </c>
      <c r="G133" s="149">
        <f t="shared" si="10"/>
        <v>0</v>
      </c>
      <c r="H133" s="151">
        <f>SUM(H134:H138)</f>
        <v>0</v>
      </c>
      <c r="I133" s="151">
        <f>SUM(I134:I138)</f>
        <v>0</v>
      </c>
      <c r="J133" s="149">
        <f t="shared" si="11"/>
        <v>0</v>
      </c>
      <c r="K133" s="140">
        <f>SUM(K134:K138)</f>
        <v>0</v>
      </c>
      <c r="L133" s="140">
        <f>SUM(L134:L138)</f>
        <v>0</v>
      </c>
    </row>
    <row r="134" spans="1:12" ht="19.5">
      <c r="A134" s="8" t="s">
        <v>71</v>
      </c>
      <c r="B134" s="11"/>
      <c r="C134" s="231"/>
      <c r="D134" s="149">
        <f t="shared" si="9"/>
        <v>0</v>
      </c>
      <c r="E134" s="148"/>
      <c r="F134" s="148"/>
      <c r="G134" s="149">
        <f t="shared" si="10"/>
        <v>0</v>
      </c>
      <c r="H134" s="148"/>
      <c r="I134" s="148"/>
      <c r="J134" s="149">
        <f t="shared" si="11"/>
        <v>0</v>
      </c>
      <c r="K134" s="138"/>
      <c r="L134" s="138"/>
    </row>
    <row r="135" spans="1:12" ht="19.5" hidden="1">
      <c r="A135" s="8"/>
      <c r="B135" s="11"/>
      <c r="C135" s="231"/>
      <c r="D135" s="149">
        <f t="shared" si="9"/>
        <v>0</v>
      </c>
      <c r="E135" s="148"/>
      <c r="F135" s="148"/>
      <c r="G135" s="149">
        <f t="shared" si="10"/>
        <v>0</v>
      </c>
      <c r="H135" s="148"/>
      <c r="I135" s="148"/>
      <c r="J135" s="149">
        <f t="shared" si="11"/>
        <v>0</v>
      </c>
      <c r="K135" s="138"/>
      <c r="L135" s="138"/>
    </row>
    <row r="136" spans="1:12" ht="19.5" hidden="1">
      <c r="A136" s="8"/>
      <c r="B136" s="11"/>
      <c r="C136" s="231"/>
      <c r="D136" s="149">
        <f t="shared" si="9"/>
        <v>0</v>
      </c>
      <c r="E136" s="148"/>
      <c r="F136" s="148"/>
      <c r="G136" s="149">
        <f t="shared" si="10"/>
        <v>0</v>
      </c>
      <c r="H136" s="148"/>
      <c r="I136" s="148"/>
      <c r="J136" s="149">
        <f t="shared" si="11"/>
        <v>0</v>
      </c>
      <c r="K136" s="138"/>
      <c r="L136" s="138"/>
    </row>
    <row r="137" spans="1:12" ht="19.5" hidden="1">
      <c r="A137" s="8"/>
      <c r="B137" s="11"/>
      <c r="C137" s="231"/>
      <c r="D137" s="149">
        <f t="shared" si="9"/>
        <v>0</v>
      </c>
      <c r="E137" s="148"/>
      <c r="F137" s="148"/>
      <c r="G137" s="149">
        <f t="shared" si="10"/>
        <v>0</v>
      </c>
      <c r="H137" s="148"/>
      <c r="I137" s="148"/>
      <c r="J137" s="149">
        <f t="shared" si="11"/>
        <v>0</v>
      </c>
      <c r="K137" s="138"/>
      <c r="L137" s="138"/>
    </row>
    <row r="138" spans="1:12" s="112" customFormat="1" ht="19.5">
      <c r="A138" s="113" t="s">
        <v>42</v>
      </c>
      <c r="B138" s="111"/>
      <c r="C138" s="231"/>
      <c r="D138" s="149">
        <f t="shared" si="9"/>
        <v>0</v>
      </c>
      <c r="E138" s="155">
        <f>SUM(E139:E143)</f>
        <v>0</v>
      </c>
      <c r="F138" s="155">
        <f>SUM(F139:F143)</f>
        <v>0</v>
      </c>
      <c r="G138" s="149">
        <f t="shared" si="10"/>
        <v>0</v>
      </c>
      <c r="H138" s="155">
        <f>SUM(H139:H143)</f>
        <v>0</v>
      </c>
      <c r="I138" s="155">
        <f>SUM(I139:I143)</f>
        <v>0</v>
      </c>
      <c r="J138" s="149">
        <f t="shared" si="11"/>
        <v>0</v>
      </c>
      <c r="K138" s="142">
        <f>SUM(K139:K143)</f>
        <v>0</v>
      </c>
      <c r="L138" s="142">
        <f>SUM(L139:L143)</f>
        <v>0</v>
      </c>
    </row>
    <row r="139" spans="1:12" ht="19.5" hidden="1">
      <c r="A139" s="4" t="s">
        <v>72</v>
      </c>
      <c r="B139" s="11"/>
      <c r="C139" s="231"/>
      <c r="D139" s="149">
        <f t="shared" si="9"/>
        <v>0</v>
      </c>
      <c r="E139" s="148"/>
      <c r="F139" s="148"/>
      <c r="G139" s="149">
        <f t="shared" si="10"/>
        <v>0</v>
      </c>
      <c r="H139" s="148"/>
      <c r="I139" s="148"/>
      <c r="J139" s="149">
        <f t="shared" si="11"/>
        <v>0</v>
      </c>
      <c r="K139" s="138"/>
      <c r="L139" s="138"/>
    </row>
    <row r="140" spans="1:12" ht="19.5" hidden="1">
      <c r="A140" s="4" t="s">
        <v>73</v>
      </c>
      <c r="B140" s="11"/>
      <c r="C140" s="231"/>
      <c r="D140" s="149">
        <f t="shared" ref="D140:D215" si="15">E140+F140</f>
        <v>0</v>
      </c>
      <c r="E140" s="148"/>
      <c r="F140" s="148"/>
      <c r="G140" s="149">
        <f t="shared" ref="G140:G215" si="16">H140+I140</f>
        <v>0</v>
      </c>
      <c r="H140" s="148"/>
      <c r="I140" s="148"/>
      <c r="J140" s="149">
        <f t="shared" ref="J140:J215" si="17">K140+L140</f>
        <v>0</v>
      </c>
      <c r="K140" s="138"/>
      <c r="L140" s="138"/>
    </row>
    <row r="141" spans="1:12" ht="19.5" hidden="1">
      <c r="A141" s="4" t="s">
        <v>74</v>
      </c>
      <c r="B141" s="11"/>
      <c r="C141" s="231"/>
      <c r="D141" s="149">
        <f t="shared" si="15"/>
        <v>0</v>
      </c>
      <c r="E141" s="148"/>
      <c r="F141" s="148"/>
      <c r="G141" s="149">
        <f t="shared" si="16"/>
        <v>0</v>
      </c>
      <c r="H141" s="148"/>
      <c r="I141" s="148"/>
      <c r="J141" s="149">
        <f t="shared" si="17"/>
        <v>0</v>
      </c>
      <c r="K141" s="138"/>
      <c r="L141" s="138"/>
    </row>
    <row r="142" spans="1:12" ht="19.5" hidden="1">
      <c r="A142" s="20" t="s">
        <v>75</v>
      </c>
      <c r="B142" s="11"/>
      <c r="C142" s="231"/>
      <c r="D142" s="149">
        <f t="shared" si="15"/>
        <v>0</v>
      </c>
      <c r="E142" s="148"/>
      <c r="F142" s="148"/>
      <c r="G142" s="149">
        <f t="shared" si="16"/>
        <v>0</v>
      </c>
      <c r="H142" s="148"/>
      <c r="I142" s="148"/>
      <c r="J142" s="149">
        <f t="shared" si="17"/>
        <v>0</v>
      </c>
      <c r="K142" s="138"/>
      <c r="L142" s="138"/>
    </row>
    <row r="143" spans="1:12" ht="19.5" hidden="1">
      <c r="A143" s="4" t="s">
        <v>76</v>
      </c>
      <c r="B143" s="11"/>
      <c r="C143" s="232"/>
      <c r="D143" s="149">
        <f t="shared" si="15"/>
        <v>0</v>
      </c>
      <c r="E143" s="148"/>
      <c r="F143" s="148"/>
      <c r="G143" s="149">
        <f t="shared" si="16"/>
        <v>0</v>
      </c>
      <c r="H143" s="148"/>
      <c r="I143" s="148"/>
      <c r="J143" s="149">
        <f t="shared" si="17"/>
        <v>0</v>
      </c>
      <c r="K143" s="138"/>
      <c r="L143" s="138"/>
    </row>
    <row r="144" spans="1:12" s="25" customFormat="1" ht="19.5" hidden="1">
      <c r="A144" s="26" t="s">
        <v>77</v>
      </c>
      <c r="B144" s="21">
        <v>260</v>
      </c>
      <c r="C144" s="21"/>
      <c r="D144" s="149">
        <f t="shared" si="15"/>
        <v>0</v>
      </c>
      <c r="E144" s="150">
        <f>E145+E150</f>
        <v>0</v>
      </c>
      <c r="F144" s="150">
        <f t="shared" ref="F144:L144" si="18">F145+F150</f>
        <v>0</v>
      </c>
      <c r="G144" s="149">
        <f t="shared" si="16"/>
        <v>0</v>
      </c>
      <c r="H144" s="150">
        <f t="shared" si="18"/>
        <v>0</v>
      </c>
      <c r="I144" s="150">
        <f t="shared" si="18"/>
        <v>0</v>
      </c>
      <c r="J144" s="149">
        <f t="shared" si="17"/>
        <v>0</v>
      </c>
      <c r="K144" s="139">
        <f t="shared" si="18"/>
        <v>0</v>
      </c>
      <c r="L144" s="139">
        <f t="shared" si="18"/>
        <v>0</v>
      </c>
    </row>
    <row r="145" spans="1:12" s="23" customFormat="1" ht="31.5" hidden="1" customHeight="1">
      <c r="A145" s="6" t="s">
        <v>78</v>
      </c>
      <c r="B145" s="10"/>
      <c r="C145" s="227">
        <v>262</v>
      </c>
      <c r="D145" s="149">
        <f t="shared" si="15"/>
        <v>0</v>
      </c>
      <c r="E145" s="151">
        <f>SUM(E146:E149)</f>
        <v>0</v>
      </c>
      <c r="F145" s="151">
        <f>SUM(F146:F149)</f>
        <v>0</v>
      </c>
      <c r="G145" s="149">
        <f t="shared" si="16"/>
        <v>0</v>
      </c>
      <c r="H145" s="151">
        <f>SUM(H146:H149)</f>
        <v>0</v>
      </c>
      <c r="I145" s="151">
        <f>SUM(I146:I149)</f>
        <v>0</v>
      </c>
      <c r="J145" s="149">
        <f t="shared" si="17"/>
        <v>0</v>
      </c>
      <c r="K145" s="140">
        <f>SUM(K146:K149)</f>
        <v>0</v>
      </c>
      <c r="L145" s="140">
        <f>SUM(L146:L149)</f>
        <v>0</v>
      </c>
    </row>
    <row r="146" spans="1:12" s="23" customFormat="1" ht="20.25" hidden="1" customHeight="1">
      <c r="A146" s="8"/>
      <c r="B146" s="10"/>
      <c r="C146" s="228"/>
      <c r="D146" s="149">
        <f t="shared" si="15"/>
        <v>0</v>
      </c>
      <c r="E146" s="151"/>
      <c r="F146" s="151"/>
      <c r="G146" s="149">
        <f t="shared" si="16"/>
        <v>0</v>
      </c>
      <c r="H146" s="151"/>
      <c r="I146" s="151"/>
      <c r="J146" s="149">
        <f t="shared" si="17"/>
        <v>0</v>
      </c>
      <c r="K146" s="140"/>
      <c r="L146" s="140"/>
    </row>
    <row r="147" spans="1:12" s="23" customFormat="1" ht="21" hidden="1" customHeight="1">
      <c r="A147" s="6"/>
      <c r="B147" s="10"/>
      <c r="C147" s="228"/>
      <c r="D147" s="149">
        <f t="shared" si="15"/>
        <v>0</v>
      </c>
      <c r="E147" s="151"/>
      <c r="F147" s="151"/>
      <c r="G147" s="149">
        <f t="shared" si="16"/>
        <v>0</v>
      </c>
      <c r="H147" s="151"/>
      <c r="I147" s="151"/>
      <c r="J147" s="149">
        <f t="shared" si="17"/>
        <v>0</v>
      </c>
      <c r="K147" s="140"/>
      <c r="L147" s="140"/>
    </row>
    <row r="148" spans="1:12" s="23" customFormat="1" ht="21" hidden="1" customHeight="1">
      <c r="A148" s="6"/>
      <c r="B148" s="10"/>
      <c r="C148" s="228"/>
      <c r="D148" s="149">
        <f t="shared" si="15"/>
        <v>0</v>
      </c>
      <c r="E148" s="151"/>
      <c r="F148" s="151"/>
      <c r="G148" s="149">
        <f t="shared" si="16"/>
        <v>0</v>
      </c>
      <c r="H148" s="151"/>
      <c r="I148" s="151"/>
      <c r="J148" s="149">
        <f t="shared" si="17"/>
        <v>0</v>
      </c>
      <c r="K148" s="140"/>
      <c r="L148" s="140"/>
    </row>
    <row r="149" spans="1:12" ht="19.5" hidden="1">
      <c r="A149" s="8"/>
      <c r="B149" s="11"/>
      <c r="C149" s="229"/>
      <c r="D149" s="149">
        <f t="shared" si="15"/>
        <v>0</v>
      </c>
      <c r="E149" s="148"/>
      <c r="F149" s="148"/>
      <c r="G149" s="149">
        <f t="shared" si="16"/>
        <v>0</v>
      </c>
      <c r="H149" s="148"/>
      <c r="I149" s="148"/>
      <c r="J149" s="149">
        <f t="shared" si="17"/>
        <v>0</v>
      </c>
      <c r="K149" s="138"/>
      <c r="L149" s="138"/>
    </row>
    <row r="150" spans="1:12" s="23" customFormat="1" ht="26.25" hidden="1" customHeight="1">
      <c r="A150" s="6" t="s">
        <v>79</v>
      </c>
      <c r="B150" s="10"/>
      <c r="C150" s="227">
        <v>266</v>
      </c>
      <c r="D150" s="149">
        <f t="shared" si="15"/>
        <v>0</v>
      </c>
      <c r="E150" s="151">
        <f>SUM(E151:E156)</f>
        <v>0</v>
      </c>
      <c r="F150" s="151">
        <f t="shared" ref="F150:L150" si="19">SUM(F151:F156)</f>
        <v>0</v>
      </c>
      <c r="G150" s="149">
        <f t="shared" si="16"/>
        <v>0</v>
      </c>
      <c r="H150" s="151">
        <f t="shared" si="19"/>
        <v>0</v>
      </c>
      <c r="I150" s="151">
        <f t="shared" si="19"/>
        <v>0</v>
      </c>
      <c r="J150" s="149">
        <f t="shared" si="17"/>
        <v>0</v>
      </c>
      <c r="K150" s="140">
        <f t="shared" si="19"/>
        <v>0</v>
      </c>
      <c r="L150" s="140">
        <f t="shared" si="19"/>
        <v>0</v>
      </c>
    </row>
    <row r="151" spans="1:12" ht="40.5" hidden="1">
      <c r="A151" s="8" t="s">
        <v>80</v>
      </c>
      <c r="B151" s="11"/>
      <c r="C151" s="228"/>
      <c r="D151" s="149">
        <f t="shared" si="15"/>
        <v>0</v>
      </c>
      <c r="E151" s="148"/>
      <c r="F151" s="148"/>
      <c r="G151" s="149">
        <f t="shared" si="16"/>
        <v>0</v>
      </c>
      <c r="H151" s="148"/>
      <c r="I151" s="148"/>
      <c r="J151" s="149">
        <f t="shared" si="17"/>
        <v>0</v>
      </c>
      <c r="K151" s="138"/>
      <c r="L151" s="138"/>
    </row>
    <row r="152" spans="1:12" ht="40.5" hidden="1">
      <c r="A152" s="8" t="s">
        <v>81</v>
      </c>
      <c r="B152" s="11"/>
      <c r="C152" s="228"/>
      <c r="D152" s="149">
        <f t="shared" si="15"/>
        <v>0</v>
      </c>
      <c r="E152" s="148"/>
      <c r="F152" s="148"/>
      <c r="G152" s="149">
        <f t="shared" si="16"/>
        <v>0</v>
      </c>
      <c r="H152" s="148"/>
      <c r="I152" s="148"/>
      <c r="J152" s="149">
        <f t="shared" si="17"/>
        <v>0</v>
      </c>
      <c r="K152" s="138"/>
      <c r="L152" s="138"/>
    </row>
    <row r="153" spans="1:12" ht="40.5" hidden="1">
      <c r="A153" s="8" t="s">
        <v>82</v>
      </c>
      <c r="B153" s="11"/>
      <c r="C153" s="228"/>
      <c r="D153" s="149">
        <f t="shared" si="15"/>
        <v>0</v>
      </c>
      <c r="E153" s="148"/>
      <c r="F153" s="148"/>
      <c r="G153" s="149">
        <f t="shared" si="16"/>
        <v>0</v>
      </c>
      <c r="H153" s="148"/>
      <c r="I153" s="148"/>
      <c r="J153" s="149">
        <f t="shared" si="17"/>
        <v>0</v>
      </c>
      <c r="K153" s="138"/>
      <c r="L153" s="138"/>
    </row>
    <row r="154" spans="1:12" ht="19.5" hidden="1">
      <c r="A154" s="8"/>
      <c r="B154" s="11"/>
      <c r="C154" s="228"/>
      <c r="D154" s="149">
        <f t="shared" si="15"/>
        <v>0</v>
      </c>
      <c r="E154" s="148"/>
      <c r="F154" s="148"/>
      <c r="G154" s="149">
        <f t="shared" si="16"/>
        <v>0</v>
      </c>
      <c r="H154" s="148"/>
      <c r="I154" s="148"/>
      <c r="J154" s="149">
        <f t="shared" si="17"/>
        <v>0</v>
      </c>
      <c r="K154" s="138"/>
      <c r="L154" s="138"/>
    </row>
    <row r="155" spans="1:12" ht="19.5" hidden="1">
      <c r="A155" s="8"/>
      <c r="B155" s="11"/>
      <c r="C155" s="228"/>
      <c r="D155" s="149">
        <f t="shared" si="15"/>
        <v>0</v>
      </c>
      <c r="E155" s="148"/>
      <c r="F155" s="148"/>
      <c r="G155" s="149">
        <f t="shared" si="16"/>
        <v>0</v>
      </c>
      <c r="H155" s="148"/>
      <c r="I155" s="148"/>
      <c r="J155" s="149">
        <f t="shared" si="17"/>
        <v>0</v>
      </c>
      <c r="K155" s="138"/>
      <c r="L155" s="138"/>
    </row>
    <row r="156" spans="1:12" ht="19.5" hidden="1">
      <c r="A156" s="8"/>
      <c r="B156" s="11"/>
      <c r="C156" s="229"/>
      <c r="D156" s="149">
        <f t="shared" si="15"/>
        <v>0</v>
      </c>
      <c r="E156" s="148"/>
      <c r="F156" s="148"/>
      <c r="G156" s="149">
        <f t="shared" si="16"/>
        <v>0</v>
      </c>
      <c r="H156" s="148"/>
      <c r="I156" s="148"/>
      <c r="J156" s="149">
        <f t="shared" si="17"/>
        <v>0</v>
      </c>
      <c r="K156" s="138"/>
      <c r="L156" s="138"/>
    </row>
    <row r="157" spans="1:12" s="25" customFormat="1" ht="19.5">
      <c r="A157" s="26" t="s">
        <v>83</v>
      </c>
      <c r="B157" s="21">
        <v>290</v>
      </c>
      <c r="C157" s="21"/>
      <c r="D157" s="149">
        <f t="shared" si="15"/>
        <v>36.7652</v>
      </c>
      <c r="E157" s="150">
        <f>E158+E167+E168+E169+E173</f>
        <v>31.7652</v>
      </c>
      <c r="F157" s="150">
        <f>F158+F167+F168+F169+F173</f>
        <v>5</v>
      </c>
      <c r="G157" s="149">
        <f t="shared" si="16"/>
        <v>36.7652</v>
      </c>
      <c r="H157" s="150">
        <f>H158+H167+H168+H169+H173</f>
        <v>31.7652</v>
      </c>
      <c r="I157" s="150">
        <f>I158+I167+I168+I169+I173</f>
        <v>5</v>
      </c>
      <c r="J157" s="149">
        <f t="shared" si="17"/>
        <v>36.7652</v>
      </c>
      <c r="K157" s="150">
        <f>K158+K167+K168+K169+K173</f>
        <v>31.7652</v>
      </c>
      <c r="L157" s="150">
        <f>L158+L167+L168+L169+L173</f>
        <v>5</v>
      </c>
    </row>
    <row r="158" spans="1:12" s="170" customFormat="1" ht="19.5">
      <c r="A158" s="6" t="s">
        <v>84</v>
      </c>
      <c r="B158" s="168">
        <v>852</v>
      </c>
      <c r="C158" s="233">
        <v>291</v>
      </c>
      <c r="D158" s="159">
        <f t="shared" si="15"/>
        <v>3.9294099999999998</v>
      </c>
      <c r="E158" s="154">
        <f>SUM(E159:E166)</f>
        <v>3.9294099999999998</v>
      </c>
      <c r="F158" s="154">
        <f t="shared" ref="F158:L158" si="20">SUM(F159:F166)</f>
        <v>0</v>
      </c>
      <c r="G158" s="159">
        <f t="shared" si="16"/>
        <v>3.9294099999999998</v>
      </c>
      <c r="H158" s="154">
        <f t="shared" si="20"/>
        <v>3.9294099999999998</v>
      </c>
      <c r="I158" s="154">
        <f t="shared" si="20"/>
        <v>0</v>
      </c>
      <c r="J158" s="159">
        <f t="shared" si="17"/>
        <v>3.9294099999999998</v>
      </c>
      <c r="K158" s="169">
        <f t="shared" si="20"/>
        <v>3.9294099999999998</v>
      </c>
      <c r="L158" s="169">
        <f t="shared" si="20"/>
        <v>0</v>
      </c>
    </row>
    <row r="159" spans="1:12" s="173" customFormat="1" ht="19.5" hidden="1">
      <c r="A159" s="4" t="s">
        <v>85</v>
      </c>
      <c r="B159" s="171"/>
      <c r="C159" s="234"/>
      <c r="D159" s="159">
        <f t="shared" si="15"/>
        <v>0</v>
      </c>
      <c r="E159" s="156"/>
      <c r="F159" s="156"/>
      <c r="G159" s="159">
        <f t="shared" si="16"/>
        <v>0</v>
      </c>
      <c r="H159" s="156"/>
      <c r="I159" s="156"/>
      <c r="J159" s="159">
        <f t="shared" si="17"/>
        <v>0</v>
      </c>
      <c r="K159" s="172"/>
      <c r="L159" s="172"/>
    </row>
    <row r="160" spans="1:12" s="173" customFormat="1" ht="19.5" hidden="1">
      <c r="A160" s="4" t="s">
        <v>86</v>
      </c>
      <c r="B160" s="171"/>
      <c r="C160" s="234"/>
      <c r="D160" s="159">
        <f t="shared" si="15"/>
        <v>0</v>
      </c>
      <c r="E160" s="156"/>
      <c r="F160" s="156"/>
      <c r="G160" s="159">
        <f t="shared" si="16"/>
        <v>0</v>
      </c>
      <c r="H160" s="156"/>
      <c r="I160" s="156"/>
      <c r="J160" s="159">
        <f t="shared" si="17"/>
        <v>0</v>
      </c>
      <c r="K160" s="172"/>
      <c r="L160" s="172"/>
    </row>
    <row r="161" spans="1:12" s="173" customFormat="1" ht="19.5" hidden="1">
      <c r="A161" s="4" t="s">
        <v>87</v>
      </c>
      <c r="B161" s="171"/>
      <c r="C161" s="234"/>
      <c r="D161" s="159">
        <f t="shared" si="15"/>
        <v>0</v>
      </c>
      <c r="E161" s="156"/>
      <c r="F161" s="156"/>
      <c r="G161" s="159">
        <f t="shared" si="16"/>
        <v>0</v>
      </c>
      <c r="H161" s="156"/>
      <c r="I161" s="156"/>
      <c r="J161" s="159">
        <f t="shared" si="17"/>
        <v>0</v>
      </c>
      <c r="K161" s="172"/>
      <c r="L161" s="172"/>
    </row>
    <row r="162" spans="1:12" s="173" customFormat="1" ht="19.5" hidden="1">
      <c r="A162" s="4" t="s">
        <v>88</v>
      </c>
      <c r="B162" s="171"/>
      <c r="C162" s="234"/>
      <c r="D162" s="159">
        <f t="shared" si="15"/>
        <v>0</v>
      </c>
      <c r="E162" s="156"/>
      <c r="F162" s="156"/>
      <c r="G162" s="159">
        <f t="shared" si="16"/>
        <v>0</v>
      </c>
      <c r="H162" s="156"/>
      <c r="I162" s="156"/>
      <c r="J162" s="159">
        <f t="shared" si="17"/>
        <v>0</v>
      </c>
      <c r="K162" s="172"/>
      <c r="L162" s="172"/>
    </row>
    <row r="163" spans="1:12" s="173" customFormat="1" ht="19.5">
      <c r="A163" s="8" t="s">
        <v>176</v>
      </c>
      <c r="B163" s="171"/>
      <c r="C163" s="234"/>
      <c r="D163" s="159">
        <f t="shared" si="15"/>
        <v>0.22741</v>
      </c>
      <c r="E163" s="156">
        <v>0.22741</v>
      </c>
      <c r="F163" s="156"/>
      <c r="G163" s="159">
        <f t="shared" si="16"/>
        <v>0.22741</v>
      </c>
      <c r="H163" s="172">
        <v>0.22741</v>
      </c>
      <c r="I163" s="156"/>
      <c r="J163" s="159">
        <f t="shared" si="17"/>
        <v>0.22741</v>
      </c>
      <c r="K163" s="172">
        <v>0.22741</v>
      </c>
      <c r="L163" s="172"/>
    </row>
    <row r="164" spans="1:12" ht="19.5">
      <c r="A164" s="4" t="s">
        <v>178</v>
      </c>
      <c r="B164" s="167"/>
      <c r="C164" s="234"/>
      <c r="D164" s="149">
        <f t="shared" si="15"/>
        <v>3.3220000000000001</v>
      </c>
      <c r="E164" s="148">
        <v>3.3220000000000001</v>
      </c>
      <c r="F164" s="148"/>
      <c r="G164" s="149">
        <f t="shared" si="16"/>
        <v>3.3220000000000001</v>
      </c>
      <c r="H164" s="138">
        <v>3.3220000000000001</v>
      </c>
      <c r="I164" s="148"/>
      <c r="J164" s="149">
        <f t="shared" si="17"/>
        <v>3.3220000000000001</v>
      </c>
      <c r="K164" s="138">
        <v>3.3220000000000001</v>
      </c>
      <c r="L164" s="166"/>
    </row>
    <row r="165" spans="1:12" ht="19.5">
      <c r="A165" s="4" t="s">
        <v>184</v>
      </c>
      <c r="B165" s="167"/>
      <c r="C165" s="234"/>
      <c r="D165" s="149">
        <f t="shared" si="15"/>
        <v>0.38</v>
      </c>
      <c r="E165" s="148">
        <v>0.38</v>
      </c>
      <c r="F165" s="148"/>
      <c r="G165" s="149">
        <f t="shared" si="16"/>
        <v>0.38</v>
      </c>
      <c r="H165" s="138">
        <v>0.38</v>
      </c>
      <c r="I165" s="148"/>
      <c r="J165" s="149">
        <f t="shared" si="17"/>
        <v>0.38</v>
      </c>
      <c r="K165" s="138">
        <f>0.068+0.312</f>
        <v>0.38</v>
      </c>
      <c r="L165" s="166"/>
    </row>
    <row r="166" spans="1:12" ht="19.5">
      <c r="A166" s="8"/>
      <c r="B166" s="167"/>
      <c r="C166" s="235"/>
      <c r="D166" s="149">
        <f t="shared" si="15"/>
        <v>0</v>
      </c>
      <c r="E166" s="148"/>
      <c r="F166" s="148"/>
      <c r="G166" s="149">
        <f t="shared" si="16"/>
        <v>0</v>
      </c>
      <c r="H166" s="138"/>
      <c r="I166" s="148"/>
      <c r="J166" s="149">
        <f t="shared" si="17"/>
        <v>0</v>
      </c>
      <c r="K166" s="138"/>
      <c r="L166" s="166"/>
    </row>
    <row r="167" spans="1:12" s="23" customFormat="1" ht="27.75">
      <c r="A167" s="6" t="s">
        <v>90</v>
      </c>
      <c r="B167" s="10">
        <v>853</v>
      </c>
      <c r="C167" s="10">
        <v>292</v>
      </c>
      <c r="D167" s="149">
        <f t="shared" si="15"/>
        <v>9.8261199999999995</v>
      </c>
      <c r="E167" s="152">
        <v>9.8261199999999995</v>
      </c>
      <c r="F167" s="152"/>
      <c r="G167" s="149">
        <f t="shared" si="16"/>
        <v>9.8261199999999995</v>
      </c>
      <c r="H167" s="141">
        <v>9.8261199999999995</v>
      </c>
      <c r="I167" s="152"/>
      <c r="J167" s="149">
        <f t="shared" si="17"/>
        <v>9.8261200000000013</v>
      </c>
      <c r="K167" s="141">
        <f>0.59478+0.02333+2.85143+0.125+0.00072+0.00016+2.5+3.2307+0.5</f>
        <v>9.8261200000000013</v>
      </c>
      <c r="L167" s="141"/>
    </row>
    <row r="168" spans="1:12" s="23" customFormat="1" ht="27.75">
      <c r="A168" s="6" t="s">
        <v>91</v>
      </c>
      <c r="B168" s="10"/>
      <c r="C168" s="10">
        <v>293</v>
      </c>
      <c r="D168" s="149">
        <f t="shared" si="15"/>
        <v>0</v>
      </c>
      <c r="E168" s="152"/>
      <c r="F168" s="152"/>
      <c r="G168" s="149">
        <f t="shared" si="16"/>
        <v>0</v>
      </c>
      <c r="H168" s="141"/>
      <c r="I168" s="152"/>
      <c r="J168" s="149">
        <f t="shared" si="17"/>
        <v>0</v>
      </c>
      <c r="K168" s="141"/>
      <c r="L168" s="141"/>
    </row>
    <row r="169" spans="1:12" s="23" customFormat="1" ht="19.5">
      <c r="A169" s="6" t="s">
        <v>92</v>
      </c>
      <c r="B169" s="10"/>
      <c r="C169" s="236">
        <v>296</v>
      </c>
      <c r="D169" s="149">
        <f t="shared" si="15"/>
        <v>5</v>
      </c>
      <c r="E169" s="151">
        <f>SUM(E170:E172)</f>
        <v>0</v>
      </c>
      <c r="F169" s="151">
        <f>SUM(F170:F172)</f>
        <v>5</v>
      </c>
      <c r="G169" s="149">
        <f t="shared" si="16"/>
        <v>5</v>
      </c>
      <c r="H169" s="151">
        <f>SUM(H170:H172)</f>
        <v>0</v>
      </c>
      <c r="I169" s="151">
        <f>SUM(I170:I172)</f>
        <v>5</v>
      </c>
      <c r="J169" s="149">
        <f t="shared" si="17"/>
        <v>5</v>
      </c>
      <c r="K169" s="151">
        <f>SUM(K170:K172)</f>
        <v>0</v>
      </c>
      <c r="L169" s="151">
        <f>SUM(L170:L172)</f>
        <v>5</v>
      </c>
    </row>
    <row r="170" spans="1:12" ht="40.5">
      <c r="A170" s="8" t="s">
        <v>93</v>
      </c>
      <c r="B170" s="11"/>
      <c r="C170" s="237"/>
      <c r="D170" s="149">
        <f t="shared" si="15"/>
        <v>0</v>
      </c>
      <c r="E170" s="148"/>
      <c r="F170" s="148"/>
      <c r="G170" s="149">
        <f t="shared" si="16"/>
        <v>0</v>
      </c>
      <c r="H170" s="148"/>
      <c r="I170" s="148"/>
      <c r="J170" s="149">
        <f t="shared" si="17"/>
        <v>0</v>
      </c>
      <c r="K170" s="138"/>
      <c r="L170" s="138"/>
    </row>
    <row r="171" spans="1:12" ht="19.5">
      <c r="A171" s="8" t="s">
        <v>222</v>
      </c>
      <c r="B171" s="11"/>
      <c r="C171" s="237"/>
      <c r="D171" s="149">
        <f t="shared" si="15"/>
        <v>5</v>
      </c>
      <c r="E171" s="148"/>
      <c r="F171" s="148">
        <v>5</v>
      </c>
      <c r="G171" s="149">
        <f t="shared" si="16"/>
        <v>5</v>
      </c>
      <c r="H171" s="148"/>
      <c r="I171" s="148">
        <v>5</v>
      </c>
      <c r="J171" s="149">
        <f t="shared" si="17"/>
        <v>5</v>
      </c>
      <c r="K171" s="138"/>
      <c r="L171" s="138">
        <v>5</v>
      </c>
    </row>
    <row r="172" spans="1:12" ht="19.5">
      <c r="A172" s="4" t="s">
        <v>67</v>
      </c>
      <c r="B172" s="11"/>
      <c r="C172" s="238"/>
      <c r="D172" s="149">
        <f t="shared" si="15"/>
        <v>0</v>
      </c>
      <c r="E172" s="148"/>
      <c r="F172" s="148"/>
      <c r="G172" s="149">
        <f t="shared" si="16"/>
        <v>0</v>
      </c>
      <c r="H172" s="148"/>
      <c r="I172" s="148"/>
      <c r="J172" s="149">
        <f t="shared" si="17"/>
        <v>0</v>
      </c>
      <c r="K172" s="138"/>
      <c r="L172" s="138"/>
    </row>
    <row r="173" spans="1:12" ht="19.5">
      <c r="A173" s="6" t="s">
        <v>95</v>
      </c>
      <c r="B173" s="10">
        <v>831</v>
      </c>
      <c r="C173" s="187">
        <v>297</v>
      </c>
      <c r="D173" s="149">
        <f t="shared" si="15"/>
        <v>18.00967</v>
      </c>
      <c r="E173" s="148">
        <v>18.00967</v>
      </c>
      <c r="F173" s="148"/>
      <c r="G173" s="149">
        <f t="shared" si="16"/>
        <v>18.00967</v>
      </c>
      <c r="H173" s="148">
        <v>18.00967</v>
      </c>
      <c r="I173" s="148"/>
      <c r="J173" s="149">
        <f t="shared" si="17"/>
        <v>18.00967</v>
      </c>
      <c r="K173" s="138">
        <v>18.00967</v>
      </c>
      <c r="L173" s="138"/>
    </row>
    <row r="174" spans="1:12" ht="19.5" hidden="1" customHeight="1">
      <c r="A174" s="8"/>
      <c r="B174" s="11"/>
      <c r="C174" s="181"/>
      <c r="D174" s="149">
        <f t="shared" si="15"/>
        <v>0</v>
      </c>
      <c r="E174" s="148"/>
      <c r="F174" s="148"/>
      <c r="G174" s="149">
        <f t="shared" si="16"/>
        <v>0</v>
      </c>
      <c r="H174" s="148"/>
      <c r="I174" s="148"/>
      <c r="J174" s="149">
        <f t="shared" si="17"/>
        <v>0</v>
      </c>
      <c r="K174" s="138"/>
      <c r="L174" s="138"/>
    </row>
    <row r="175" spans="1:12" ht="19.5" hidden="1" customHeight="1">
      <c r="A175" s="4"/>
      <c r="B175" s="11"/>
      <c r="C175" s="181"/>
      <c r="D175" s="149">
        <f t="shared" si="15"/>
        <v>0</v>
      </c>
      <c r="E175" s="148"/>
      <c r="F175" s="148"/>
      <c r="G175" s="149">
        <f t="shared" si="16"/>
        <v>0</v>
      </c>
      <c r="H175" s="148"/>
      <c r="I175" s="148"/>
      <c r="J175" s="149">
        <f t="shared" si="17"/>
        <v>0</v>
      </c>
      <c r="K175" s="138"/>
      <c r="L175" s="138"/>
    </row>
    <row r="176" spans="1:12" ht="19.5" hidden="1" customHeight="1">
      <c r="A176" s="8"/>
      <c r="B176" s="11"/>
      <c r="C176" s="182"/>
      <c r="D176" s="149">
        <f t="shared" si="15"/>
        <v>0</v>
      </c>
      <c r="E176" s="148"/>
      <c r="F176" s="148"/>
      <c r="G176" s="149">
        <f t="shared" si="16"/>
        <v>0</v>
      </c>
      <c r="H176" s="148"/>
      <c r="I176" s="148"/>
      <c r="J176" s="149">
        <f t="shared" si="17"/>
        <v>0</v>
      </c>
      <c r="K176" s="138"/>
      <c r="L176" s="138"/>
    </row>
    <row r="177" spans="1:12" s="25" customFormat="1" ht="19.5">
      <c r="A177" s="27" t="s">
        <v>96</v>
      </c>
      <c r="B177" s="21">
        <v>244</v>
      </c>
      <c r="C177" s="21">
        <v>300</v>
      </c>
      <c r="D177" s="149">
        <f t="shared" si="15"/>
        <v>1632.5590100000002</v>
      </c>
      <c r="E177" s="150">
        <f>E178+E191+E192+E193+E220</f>
        <v>1593.4050100000002</v>
      </c>
      <c r="F177" s="150">
        <f t="shared" ref="F177:L177" si="21">F178+F191+F192+F193+F220</f>
        <v>39.153999999999996</v>
      </c>
      <c r="G177" s="149">
        <f t="shared" si="16"/>
        <v>1525.76325</v>
      </c>
      <c r="H177" s="150">
        <f t="shared" si="21"/>
        <v>1486.60925</v>
      </c>
      <c r="I177" s="150">
        <f t="shared" si="21"/>
        <v>39.153999999999996</v>
      </c>
      <c r="J177" s="149">
        <f t="shared" si="17"/>
        <v>1632.5590099999999</v>
      </c>
      <c r="K177" s="139">
        <f t="shared" si="21"/>
        <v>1593.4050099999999</v>
      </c>
      <c r="L177" s="139">
        <f t="shared" si="21"/>
        <v>39.153999999999996</v>
      </c>
    </row>
    <row r="178" spans="1:12" s="25" customFormat="1" ht="19.5">
      <c r="A178" s="27" t="s">
        <v>97</v>
      </c>
      <c r="B178" s="21">
        <v>310</v>
      </c>
      <c r="C178" s="21"/>
      <c r="D178" s="149">
        <f t="shared" si="15"/>
        <v>92.740500000000011</v>
      </c>
      <c r="E178" s="150">
        <f>SUM(E179:E190)</f>
        <v>78.740500000000011</v>
      </c>
      <c r="F178" s="150">
        <f t="shared" ref="F178:L178" si="22">SUM(F179:F190)</f>
        <v>14</v>
      </c>
      <c r="G178" s="149">
        <f t="shared" si="16"/>
        <v>92.740500000000011</v>
      </c>
      <c r="H178" s="150">
        <f t="shared" si="22"/>
        <v>78.740500000000011</v>
      </c>
      <c r="I178" s="150">
        <f t="shared" si="22"/>
        <v>14</v>
      </c>
      <c r="J178" s="149">
        <f t="shared" si="17"/>
        <v>92.740499999999997</v>
      </c>
      <c r="K178" s="139">
        <f t="shared" si="22"/>
        <v>78.740499999999997</v>
      </c>
      <c r="L178" s="139">
        <f t="shared" si="22"/>
        <v>14</v>
      </c>
    </row>
    <row r="179" spans="1:12" ht="19.5" hidden="1">
      <c r="A179" s="8" t="s">
        <v>98</v>
      </c>
      <c r="B179" s="11"/>
      <c r="C179" s="11"/>
      <c r="D179" s="149">
        <f t="shared" si="15"/>
        <v>0</v>
      </c>
      <c r="E179" s="148"/>
      <c r="F179" s="148"/>
      <c r="G179" s="149">
        <f t="shared" si="16"/>
        <v>0</v>
      </c>
      <c r="H179" s="148"/>
      <c r="I179" s="148"/>
      <c r="J179" s="149">
        <f t="shared" si="17"/>
        <v>0</v>
      </c>
      <c r="K179" s="138"/>
      <c r="L179" s="138"/>
    </row>
    <row r="180" spans="1:12" ht="19.5" hidden="1">
      <c r="A180" s="8" t="s">
        <v>99</v>
      </c>
      <c r="B180" s="11"/>
      <c r="C180" s="11"/>
      <c r="D180" s="149">
        <f t="shared" si="15"/>
        <v>0</v>
      </c>
      <c r="E180" s="148"/>
      <c r="F180" s="148"/>
      <c r="G180" s="149">
        <f t="shared" si="16"/>
        <v>0</v>
      </c>
      <c r="H180" s="148"/>
      <c r="I180" s="148"/>
      <c r="J180" s="149">
        <f t="shared" si="17"/>
        <v>0</v>
      </c>
      <c r="K180" s="138"/>
      <c r="L180" s="138"/>
    </row>
    <row r="181" spans="1:12" ht="19.5" hidden="1">
      <c r="A181" s="8" t="s">
        <v>100</v>
      </c>
      <c r="B181" s="11"/>
      <c r="C181" s="11"/>
      <c r="D181" s="149">
        <f t="shared" si="15"/>
        <v>0</v>
      </c>
      <c r="E181" s="148"/>
      <c r="F181" s="148"/>
      <c r="G181" s="149">
        <f t="shared" si="16"/>
        <v>0</v>
      </c>
      <c r="H181" s="148"/>
      <c r="I181" s="148"/>
      <c r="J181" s="149">
        <f t="shared" si="17"/>
        <v>0</v>
      </c>
      <c r="K181" s="138"/>
      <c r="L181" s="138"/>
    </row>
    <row r="182" spans="1:12" ht="19.5" hidden="1">
      <c r="A182" s="8" t="s">
        <v>101</v>
      </c>
      <c r="B182" s="11"/>
      <c r="C182" s="11"/>
      <c r="D182" s="149">
        <f t="shared" si="15"/>
        <v>0</v>
      </c>
      <c r="E182" s="148"/>
      <c r="F182" s="148"/>
      <c r="G182" s="149">
        <f t="shared" si="16"/>
        <v>0</v>
      </c>
      <c r="H182" s="148"/>
      <c r="I182" s="148"/>
      <c r="J182" s="149">
        <f t="shared" si="17"/>
        <v>0</v>
      </c>
      <c r="K182" s="138"/>
      <c r="L182" s="138"/>
    </row>
    <row r="183" spans="1:12" ht="19.5" hidden="1">
      <c r="A183" s="8" t="s">
        <v>102</v>
      </c>
      <c r="B183" s="11"/>
      <c r="C183" s="11"/>
      <c r="D183" s="149">
        <f t="shared" si="15"/>
        <v>0</v>
      </c>
      <c r="E183" s="148"/>
      <c r="F183" s="148"/>
      <c r="G183" s="149">
        <f t="shared" si="16"/>
        <v>0</v>
      </c>
      <c r="H183" s="148"/>
      <c r="I183" s="148"/>
      <c r="J183" s="149">
        <f t="shared" si="17"/>
        <v>0</v>
      </c>
      <c r="K183" s="138"/>
      <c r="L183" s="138"/>
    </row>
    <row r="184" spans="1:12" ht="19.5">
      <c r="A184" s="8" t="s">
        <v>177</v>
      </c>
      <c r="B184" s="11"/>
      <c r="C184" s="11"/>
      <c r="D184" s="149">
        <f t="shared" si="15"/>
        <v>5.3</v>
      </c>
      <c r="E184" s="148"/>
      <c r="F184" s="148">
        <v>5.3</v>
      </c>
      <c r="G184" s="149">
        <f t="shared" si="16"/>
        <v>5.3</v>
      </c>
      <c r="H184" s="148"/>
      <c r="I184" s="148">
        <v>5.3</v>
      </c>
      <c r="J184" s="149">
        <f t="shared" si="17"/>
        <v>5.3</v>
      </c>
      <c r="K184" s="138"/>
      <c r="L184" s="138">
        <v>5.3</v>
      </c>
    </row>
    <row r="185" spans="1:12" ht="24" customHeight="1">
      <c r="A185" s="8" t="s">
        <v>185</v>
      </c>
      <c r="B185" s="11"/>
      <c r="C185" s="11"/>
      <c r="D185" s="149">
        <f t="shared" si="15"/>
        <v>17.399999999999999</v>
      </c>
      <c r="E185" s="148">
        <v>8.6999999999999993</v>
      </c>
      <c r="F185" s="148">
        <v>8.6999999999999993</v>
      </c>
      <c r="G185" s="149">
        <f t="shared" si="16"/>
        <v>17.399999999999999</v>
      </c>
      <c r="H185" s="148">
        <v>8.6999999999999993</v>
      </c>
      <c r="I185" s="148">
        <v>8.6999999999999993</v>
      </c>
      <c r="J185" s="149">
        <f t="shared" si="17"/>
        <v>17.399999999999999</v>
      </c>
      <c r="K185" s="138">
        <v>8.6999999999999993</v>
      </c>
      <c r="L185" s="138">
        <f>7.4+1.3</f>
        <v>8.7000000000000011</v>
      </c>
    </row>
    <row r="186" spans="1:12" ht="19.5">
      <c r="A186" s="8" t="s">
        <v>205</v>
      </c>
      <c r="B186" s="11"/>
      <c r="C186" s="11"/>
      <c r="D186" s="149">
        <f t="shared" si="15"/>
        <v>1.431</v>
      </c>
      <c r="E186" s="148">
        <v>1.431</v>
      </c>
      <c r="F186" s="148"/>
      <c r="G186" s="149">
        <f t="shared" si="16"/>
        <v>1.431</v>
      </c>
      <c r="H186" s="148">
        <v>1.431</v>
      </c>
      <c r="I186" s="148"/>
      <c r="J186" s="149">
        <f t="shared" si="17"/>
        <v>1.431</v>
      </c>
      <c r="K186" s="138">
        <v>1.431</v>
      </c>
      <c r="L186" s="138"/>
    </row>
    <row r="187" spans="1:12" ht="19.5">
      <c r="A187" s="8" t="s">
        <v>100</v>
      </c>
      <c r="B187" s="11"/>
      <c r="C187" s="11"/>
      <c r="D187" s="149">
        <f t="shared" si="15"/>
        <v>29.575500000000002</v>
      </c>
      <c r="E187" s="148">
        <v>29.575500000000002</v>
      </c>
      <c r="F187" s="148"/>
      <c r="G187" s="149">
        <f t="shared" si="16"/>
        <v>29.575500000000002</v>
      </c>
      <c r="H187" s="148">
        <v>29.575500000000002</v>
      </c>
      <c r="I187" s="148"/>
      <c r="J187" s="149">
        <f t="shared" si="17"/>
        <v>29.575500000000002</v>
      </c>
      <c r="K187" s="138">
        <v>29.575500000000002</v>
      </c>
      <c r="L187" s="138"/>
    </row>
    <row r="188" spans="1:12" ht="19.5">
      <c r="A188" s="8" t="s">
        <v>226</v>
      </c>
      <c r="B188" s="11"/>
      <c r="C188" s="11"/>
      <c r="D188" s="149">
        <f t="shared" si="15"/>
        <v>4.2</v>
      </c>
      <c r="E188" s="148">
        <v>4.2</v>
      </c>
      <c r="F188" s="148"/>
      <c r="G188" s="149">
        <f t="shared" si="16"/>
        <v>4.2</v>
      </c>
      <c r="H188" s="148">
        <v>4.2</v>
      </c>
      <c r="I188" s="148"/>
      <c r="J188" s="149">
        <f t="shared" si="17"/>
        <v>4.2</v>
      </c>
      <c r="K188" s="138">
        <v>4.2</v>
      </c>
      <c r="L188" s="138"/>
    </row>
    <row r="189" spans="1:12" ht="19.5">
      <c r="A189" s="8" t="s">
        <v>231</v>
      </c>
      <c r="B189" s="11"/>
      <c r="C189" s="11"/>
      <c r="D189" s="149">
        <f t="shared" si="15"/>
        <v>2.8359999999999999</v>
      </c>
      <c r="E189" s="148">
        <v>2.8359999999999999</v>
      </c>
      <c r="F189" s="148"/>
      <c r="G189" s="149">
        <f t="shared" si="16"/>
        <v>2.8359999999999999</v>
      </c>
      <c r="H189" s="148">
        <v>2.8359999999999999</v>
      </c>
      <c r="I189" s="148"/>
      <c r="J189" s="149">
        <f t="shared" si="17"/>
        <v>2.8359999999999999</v>
      </c>
      <c r="K189" s="138">
        <v>2.8359999999999999</v>
      </c>
      <c r="L189" s="138"/>
    </row>
    <row r="190" spans="1:12" ht="19.5">
      <c r="A190" s="8" t="s">
        <v>235</v>
      </c>
      <c r="B190" s="11"/>
      <c r="C190" s="11"/>
      <c r="D190" s="149">
        <f t="shared" si="15"/>
        <v>31.998000000000001</v>
      </c>
      <c r="E190" s="148">
        <v>31.998000000000001</v>
      </c>
      <c r="F190" s="148"/>
      <c r="G190" s="149">
        <f t="shared" si="16"/>
        <v>31.998000000000001</v>
      </c>
      <c r="H190" s="148">
        <v>31.998000000000001</v>
      </c>
      <c r="I190" s="148"/>
      <c r="J190" s="149">
        <f t="shared" si="17"/>
        <v>31.997999999999998</v>
      </c>
      <c r="K190" s="138">
        <f>27.398+4.6</f>
        <v>31.997999999999998</v>
      </c>
      <c r="L190" s="138"/>
    </row>
    <row r="191" spans="1:12" s="25" customFormat="1" ht="19.5">
      <c r="A191" s="27" t="s">
        <v>104</v>
      </c>
      <c r="B191" s="21">
        <v>320</v>
      </c>
      <c r="C191" s="21"/>
      <c r="D191" s="149">
        <f t="shared" si="15"/>
        <v>0</v>
      </c>
      <c r="E191" s="157"/>
      <c r="F191" s="157"/>
      <c r="G191" s="149">
        <f t="shared" si="16"/>
        <v>0</v>
      </c>
      <c r="H191" s="157"/>
      <c r="I191" s="157"/>
      <c r="J191" s="149">
        <f t="shared" si="17"/>
        <v>0</v>
      </c>
      <c r="K191" s="143"/>
      <c r="L191" s="143"/>
    </row>
    <row r="192" spans="1:12" s="25" customFormat="1" ht="19.5">
      <c r="A192" s="27" t="s">
        <v>105</v>
      </c>
      <c r="B192" s="21">
        <v>330</v>
      </c>
      <c r="C192" s="21"/>
      <c r="D192" s="149">
        <f t="shared" si="15"/>
        <v>0</v>
      </c>
      <c r="E192" s="157"/>
      <c r="F192" s="157"/>
      <c r="G192" s="149">
        <f t="shared" si="16"/>
        <v>0</v>
      </c>
      <c r="H192" s="157"/>
      <c r="I192" s="157"/>
      <c r="J192" s="149">
        <f t="shared" si="17"/>
        <v>0</v>
      </c>
      <c r="K192" s="143"/>
      <c r="L192" s="143"/>
    </row>
    <row r="193" spans="1:12" s="25" customFormat="1" ht="19.5">
      <c r="A193" s="27" t="s">
        <v>106</v>
      </c>
      <c r="B193" s="21">
        <v>340</v>
      </c>
      <c r="C193" s="21"/>
      <c r="D193" s="149">
        <f t="shared" si="15"/>
        <v>1539.8185100000001</v>
      </c>
      <c r="E193" s="150">
        <f>E194+E195+E196+E197+E198+E199+E212</f>
        <v>1514.6645100000001</v>
      </c>
      <c r="F193" s="150">
        <f t="shared" ref="F193:L193" si="23">F194+F195+F196+F197+F198+F199+F212</f>
        <v>25.154</v>
      </c>
      <c r="G193" s="149">
        <f t="shared" si="16"/>
        <v>1433.0227499999999</v>
      </c>
      <c r="H193" s="150">
        <f t="shared" si="23"/>
        <v>1407.8687499999999</v>
      </c>
      <c r="I193" s="158">
        <f t="shared" si="23"/>
        <v>25.154</v>
      </c>
      <c r="J193" s="149">
        <f t="shared" si="17"/>
        <v>1539.8185100000001</v>
      </c>
      <c r="K193" s="139">
        <f t="shared" si="23"/>
        <v>1514.6645100000001</v>
      </c>
      <c r="L193" s="139">
        <f t="shared" si="23"/>
        <v>25.154</v>
      </c>
    </row>
    <row r="194" spans="1:12" s="23" customFormat="1" ht="27.75">
      <c r="A194" s="6" t="s">
        <v>107</v>
      </c>
      <c r="B194" s="10"/>
      <c r="C194" s="10">
        <v>341</v>
      </c>
      <c r="D194" s="149">
        <f t="shared" si="15"/>
        <v>0</v>
      </c>
      <c r="E194" s="152"/>
      <c r="F194" s="152">
        <v>0</v>
      </c>
      <c r="G194" s="149">
        <f t="shared" si="16"/>
        <v>0</v>
      </c>
      <c r="H194" s="152"/>
      <c r="I194" s="152"/>
      <c r="J194" s="149">
        <f t="shared" si="17"/>
        <v>0</v>
      </c>
      <c r="K194" s="141"/>
      <c r="L194" s="141"/>
    </row>
    <row r="195" spans="1:12" s="23" customFormat="1" ht="19.5">
      <c r="A195" s="6" t="s">
        <v>108</v>
      </c>
      <c r="B195" s="10"/>
      <c r="C195" s="10">
        <v>342</v>
      </c>
      <c r="D195" s="149">
        <f t="shared" si="15"/>
        <v>1093.75901</v>
      </c>
      <c r="E195" s="145">
        <v>1087.1590100000001</v>
      </c>
      <c r="F195" s="153">
        <v>6.6</v>
      </c>
      <c r="G195" s="159">
        <f t="shared" si="16"/>
        <v>1093.75901</v>
      </c>
      <c r="H195" s="153">
        <v>1087.1590100000001</v>
      </c>
      <c r="I195" s="153">
        <v>6.6</v>
      </c>
      <c r="J195" s="159">
        <f t="shared" si="17"/>
        <v>1093.75901</v>
      </c>
      <c r="K195" s="145">
        <f>0.44+0.33+1.32+0.77+261.01998+99.0065+716.46253+2.42+2.2+3.19</f>
        <v>1087.1590100000001</v>
      </c>
      <c r="L195" s="141">
        <f>2.31+2.2+2.09</f>
        <v>6.6</v>
      </c>
    </row>
    <row r="196" spans="1:12" s="23" customFormat="1" ht="19.5">
      <c r="A196" s="6" t="s">
        <v>109</v>
      </c>
      <c r="B196" s="10"/>
      <c r="C196" s="10">
        <v>343</v>
      </c>
      <c r="D196" s="149">
        <f t="shared" si="15"/>
        <v>53.406999999999996</v>
      </c>
      <c r="E196" s="152">
        <v>53.406999999999996</v>
      </c>
      <c r="F196" s="152"/>
      <c r="G196" s="149">
        <f t="shared" si="16"/>
        <v>53.406999999999996</v>
      </c>
      <c r="H196" s="152">
        <v>53.406999999999996</v>
      </c>
      <c r="I196" s="152"/>
      <c r="J196" s="149">
        <f t="shared" si="17"/>
        <v>53.407000000000004</v>
      </c>
      <c r="K196" s="141">
        <f>7.915+26.34+7.625+0.598+2.816+2.58+5.533</f>
        <v>53.407000000000004</v>
      </c>
      <c r="L196" s="141"/>
    </row>
    <row r="197" spans="1:12" s="23" customFormat="1" ht="19.5">
      <c r="A197" s="6" t="s">
        <v>110</v>
      </c>
      <c r="B197" s="10"/>
      <c r="C197" s="10">
        <v>344</v>
      </c>
      <c r="D197" s="149">
        <f t="shared" si="15"/>
        <v>71.858000000000004</v>
      </c>
      <c r="E197" s="152">
        <v>69.501000000000005</v>
      </c>
      <c r="F197" s="152">
        <v>2.3570000000000002</v>
      </c>
      <c r="G197" s="149">
        <f t="shared" si="16"/>
        <v>71.858000000000004</v>
      </c>
      <c r="H197" s="152">
        <v>69.501000000000005</v>
      </c>
      <c r="I197" s="152">
        <v>2.3570000000000002</v>
      </c>
      <c r="J197" s="149">
        <f t="shared" si="17"/>
        <v>71.858000000000004</v>
      </c>
      <c r="K197" s="141">
        <f>3.404+11.136+8.05+6.8475+24.032+1.243+8.9765+3.778+2.034</f>
        <v>69.501000000000005</v>
      </c>
      <c r="L197" s="141">
        <f>2.357</f>
        <v>2.3570000000000002</v>
      </c>
    </row>
    <row r="198" spans="1:12" s="23" customFormat="1" ht="19.5">
      <c r="A198" s="6" t="s">
        <v>111</v>
      </c>
      <c r="B198" s="10"/>
      <c r="C198" s="10">
        <v>345</v>
      </c>
      <c r="D198" s="149">
        <f t="shared" si="15"/>
        <v>72.239999999999995</v>
      </c>
      <c r="E198" s="152">
        <v>72.239999999999995</v>
      </c>
      <c r="F198" s="152"/>
      <c r="G198" s="149">
        <f t="shared" si="16"/>
        <v>50.7</v>
      </c>
      <c r="H198" s="152">
        <v>50.7</v>
      </c>
      <c r="I198" s="152"/>
      <c r="J198" s="149">
        <f t="shared" si="17"/>
        <v>72.240000000000009</v>
      </c>
      <c r="K198" s="152">
        <f>22+28.7+21.54</f>
        <v>72.240000000000009</v>
      </c>
      <c r="L198" s="141"/>
    </row>
    <row r="199" spans="1:12" s="23" customFormat="1" ht="31.5" customHeight="1">
      <c r="A199" s="6" t="s">
        <v>112</v>
      </c>
      <c r="B199" s="10"/>
      <c r="C199" s="227">
        <v>346</v>
      </c>
      <c r="D199" s="149">
        <f t="shared" si="15"/>
        <v>242.16450000000003</v>
      </c>
      <c r="E199" s="151">
        <f>SUM(E200:E211)</f>
        <v>225.96750000000003</v>
      </c>
      <c r="F199" s="151">
        <f t="shared" ref="F199:L199" si="24">SUM(F200:F211)</f>
        <v>16.196999999999999</v>
      </c>
      <c r="G199" s="149">
        <f t="shared" si="16"/>
        <v>160.10374000000002</v>
      </c>
      <c r="H199" s="151">
        <f t="shared" si="24"/>
        <v>143.90674000000001</v>
      </c>
      <c r="I199" s="154">
        <f t="shared" si="24"/>
        <v>16.196999999999999</v>
      </c>
      <c r="J199" s="149">
        <f t="shared" si="17"/>
        <v>242.16450000000003</v>
      </c>
      <c r="K199" s="140">
        <f t="shared" si="24"/>
        <v>225.96750000000003</v>
      </c>
      <c r="L199" s="140">
        <f t="shared" si="24"/>
        <v>16.196999999999999</v>
      </c>
    </row>
    <row r="200" spans="1:12" ht="19.5">
      <c r="A200" s="8" t="s">
        <v>180</v>
      </c>
      <c r="B200" s="11"/>
      <c r="C200" s="228"/>
      <c r="D200" s="149">
        <f t="shared" si="15"/>
        <v>15.9985</v>
      </c>
      <c r="E200" s="148">
        <v>15.9985</v>
      </c>
      <c r="F200" s="148"/>
      <c r="G200" s="149">
        <f t="shared" si="16"/>
        <v>14.3005</v>
      </c>
      <c r="H200" s="148">
        <f>6.5695+2.358+5.373</f>
        <v>14.3005</v>
      </c>
      <c r="I200" s="148"/>
      <c r="J200" s="149">
        <f t="shared" si="17"/>
        <v>15.9985</v>
      </c>
      <c r="K200" s="138">
        <f>6.5695+2.358+5.373+1.698</f>
        <v>15.9985</v>
      </c>
      <c r="L200" s="138"/>
    </row>
    <row r="201" spans="1:12" ht="19.5" hidden="1">
      <c r="A201" s="8"/>
      <c r="B201" s="11"/>
      <c r="C201" s="228"/>
      <c r="D201" s="149">
        <f t="shared" si="15"/>
        <v>0</v>
      </c>
      <c r="E201" s="148"/>
      <c r="F201" s="148"/>
      <c r="G201" s="149">
        <f t="shared" si="16"/>
        <v>0</v>
      </c>
      <c r="H201" s="148"/>
      <c r="I201" s="148"/>
      <c r="J201" s="149">
        <f t="shared" si="17"/>
        <v>0</v>
      </c>
      <c r="K201" s="138"/>
      <c r="L201" s="138"/>
    </row>
    <row r="202" spans="1:12" ht="19.5">
      <c r="A202" s="8" t="s">
        <v>114</v>
      </c>
      <c r="B202" s="11"/>
      <c r="C202" s="228"/>
      <c r="D202" s="149">
        <f t="shared" si="15"/>
        <v>197.52376000000001</v>
      </c>
      <c r="E202" s="148">
        <v>181.32676000000001</v>
      </c>
      <c r="F202" s="148">
        <v>16.196999999999999</v>
      </c>
      <c r="G202" s="149">
        <f t="shared" si="16"/>
        <v>127.661</v>
      </c>
      <c r="H202" s="148">
        <v>111.464</v>
      </c>
      <c r="I202" s="148">
        <v>16.196999999999999</v>
      </c>
      <c r="J202" s="149">
        <f t="shared" si="17"/>
        <v>197.52376000000001</v>
      </c>
      <c r="K202" s="138">
        <f>0.95+42.2+1.262+4.48+40.504+22.068+1.993+7.96+22.96+36.94976</f>
        <v>181.32676000000001</v>
      </c>
      <c r="L202" s="138">
        <f>3.814+9.422+2.961</f>
        <v>16.196999999999999</v>
      </c>
    </row>
    <row r="203" spans="1:12" ht="28.5" hidden="1" customHeight="1">
      <c r="A203" s="8" t="s">
        <v>115</v>
      </c>
      <c r="B203" s="11"/>
      <c r="C203" s="228"/>
      <c r="D203" s="149">
        <f t="shared" si="15"/>
        <v>0</v>
      </c>
      <c r="E203" s="148"/>
      <c r="F203" s="148"/>
      <c r="G203" s="149">
        <f t="shared" si="16"/>
        <v>0</v>
      </c>
      <c r="H203" s="148"/>
      <c r="I203" s="148"/>
      <c r="J203" s="149">
        <f t="shared" si="17"/>
        <v>0</v>
      </c>
      <c r="K203" s="138"/>
      <c r="L203" s="138"/>
    </row>
    <row r="204" spans="1:12" ht="19.5" hidden="1">
      <c r="A204" s="8"/>
      <c r="B204" s="11"/>
      <c r="C204" s="228"/>
      <c r="D204" s="149">
        <f t="shared" si="15"/>
        <v>0</v>
      </c>
      <c r="E204" s="148"/>
      <c r="F204" s="148"/>
      <c r="G204" s="149">
        <f t="shared" si="16"/>
        <v>0</v>
      </c>
      <c r="H204" s="148"/>
      <c r="I204" s="148"/>
      <c r="J204" s="149">
        <f t="shared" si="17"/>
        <v>0</v>
      </c>
      <c r="K204" s="138"/>
      <c r="L204" s="138"/>
    </row>
    <row r="205" spans="1:12" ht="19.5" hidden="1">
      <c r="A205" s="8"/>
      <c r="B205" s="11"/>
      <c r="C205" s="228"/>
      <c r="D205" s="149">
        <f t="shared" si="15"/>
        <v>0</v>
      </c>
      <c r="E205" s="148"/>
      <c r="F205" s="148"/>
      <c r="G205" s="149">
        <f t="shared" si="16"/>
        <v>0</v>
      </c>
      <c r="H205" s="148"/>
      <c r="I205" s="148"/>
      <c r="J205" s="149">
        <f t="shared" si="17"/>
        <v>0</v>
      </c>
      <c r="K205" s="138"/>
      <c r="L205" s="138"/>
    </row>
    <row r="206" spans="1:12" ht="33" hidden="1" customHeight="1">
      <c r="A206" s="8" t="s">
        <v>116</v>
      </c>
      <c r="B206" s="11"/>
      <c r="C206" s="228"/>
      <c r="D206" s="149">
        <f t="shared" si="15"/>
        <v>0</v>
      </c>
      <c r="E206" s="148"/>
      <c r="F206" s="148"/>
      <c r="G206" s="149">
        <f t="shared" si="16"/>
        <v>0</v>
      </c>
      <c r="H206" s="148"/>
      <c r="I206" s="148"/>
      <c r="J206" s="149">
        <f t="shared" si="17"/>
        <v>0</v>
      </c>
      <c r="K206" s="138"/>
      <c r="L206" s="138"/>
    </row>
    <row r="207" spans="1:12" ht="19.5">
      <c r="A207" s="8" t="s">
        <v>117</v>
      </c>
      <c r="B207" s="11"/>
      <c r="C207" s="228"/>
      <c r="D207" s="149">
        <f t="shared" si="15"/>
        <v>0</v>
      </c>
      <c r="E207" s="148">
        <v>0</v>
      </c>
      <c r="F207" s="148"/>
      <c r="G207" s="149">
        <f t="shared" si="16"/>
        <v>0</v>
      </c>
      <c r="H207" s="148"/>
      <c r="I207" s="148"/>
      <c r="J207" s="149">
        <f t="shared" si="17"/>
        <v>0</v>
      </c>
      <c r="K207" s="138"/>
      <c r="L207" s="138"/>
    </row>
    <row r="208" spans="1:12" ht="18" customHeight="1">
      <c r="A208" s="4" t="s">
        <v>118</v>
      </c>
      <c r="B208" s="11"/>
      <c r="C208" s="228"/>
      <c r="D208" s="149">
        <f t="shared" si="15"/>
        <v>28.642240000000001</v>
      </c>
      <c r="E208" s="148">
        <v>28.642240000000001</v>
      </c>
      <c r="F208" s="148"/>
      <c r="G208" s="149">
        <f t="shared" si="16"/>
        <v>18.142240000000001</v>
      </c>
      <c r="H208" s="148">
        <v>18.142240000000001</v>
      </c>
      <c r="I208" s="148"/>
      <c r="J208" s="149">
        <f t="shared" si="17"/>
        <v>28.642240000000001</v>
      </c>
      <c r="K208" s="138">
        <f>18.14224+10.5</f>
        <v>28.642240000000001</v>
      </c>
      <c r="L208" s="138"/>
    </row>
    <row r="209" spans="1:12" ht="27" customHeight="1">
      <c r="A209" s="8" t="s">
        <v>153</v>
      </c>
      <c r="B209" s="11"/>
      <c r="C209" s="228"/>
      <c r="D209" s="149">
        <f t="shared" si="15"/>
        <v>0</v>
      </c>
      <c r="E209" s="156">
        <v>0</v>
      </c>
      <c r="F209" s="148"/>
      <c r="G209" s="149">
        <f t="shared" si="16"/>
        <v>0</v>
      </c>
      <c r="H209" s="148"/>
      <c r="I209" s="148"/>
      <c r="J209" s="149">
        <f t="shared" si="17"/>
        <v>0</v>
      </c>
      <c r="K209" s="138"/>
      <c r="L209" s="138"/>
    </row>
    <row r="210" spans="1:12" ht="19.5" hidden="1">
      <c r="A210" s="8"/>
      <c r="B210" s="11"/>
      <c r="C210" s="228"/>
      <c r="D210" s="149">
        <f t="shared" si="15"/>
        <v>0</v>
      </c>
      <c r="E210" s="148"/>
      <c r="F210" s="148"/>
      <c r="G210" s="149">
        <f t="shared" si="16"/>
        <v>0</v>
      </c>
      <c r="H210" s="148"/>
      <c r="I210" s="148"/>
      <c r="J210" s="149">
        <f t="shared" si="17"/>
        <v>0</v>
      </c>
      <c r="K210" s="138"/>
      <c r="L210" s="138"/>
    </row>
    <row r="211" spans="1:12" ht="19.5" hidden="1">
      <c r="A211" s="4"/>
      <c r="B211" s="11"/>
      <c r="C211" s="229"/>
      <c r="D211" s="149">
        <f t="shared" si="15"/>
        <v>0</v>
      </c>
      <c r="E211" s="148"/>
      <c r="F211" s="148"/>
      <c r="G211" s="149">
        <f t="shared" si="16"/>
        <v>0</v>
      </c>
      <c r="H211" s="148"/>
      <c r="I211" s="148"/>
      <c r="J211" s="149">
        <f t="shared" si="17"/>
        <v>0</v>
      </c>
      <c r="K211" s="138"/>
      <c r="L211" s="138"/>
    </row>
    <row r="212" spans="1:12" s="23" customFormat="1" ht="29.25" customHeight="1">
      <c r="A212" s="6" t="s">
        <v>119</v>
      </c>
      <c r="B212" s="10"/>
      <c r="C212" s="230">
        <v>349</v>
      </c>
      <c r="D212" s="149">
        <f t="shared" si="15"/>
        <v>6.39</v>
      </c>
      <c r="E212" s="151">
        <f>SUM(E213:E219)</f>
        <v>6.39</v>
      </c>
      <c r="F212" s="151">
        <f t="shared" ref="F212:L212" si="25">SUM(F213:F219)</f>
        <v>0</v>
      </c>
      <c r="G212" s="149">
        <f t="shared" si="16"/>
        <v>3.1949999999999998</v>
      </c>
      <c r="H212" s="151">
        <f t="shared" si="25"/>
        <v>3.1949999999999998</v>
      </c>
      <c r="I212" s="151">
        <f t="shared" si="25"/>
        <v>0</v>
      </c>
      <c r="J212" s="149">
        <f t="shared" si="17"/>
        <v>6.39</v>
      </c>
      <c r="K212" s="140">
        <f t="shared" si="25"/>
        <v>6.39</v>
      </c>
      <c r="L212" s="140">
        <f t="shared" si="25"/>
        <v>0</v>
      </c>
    </row>
    <row r="213" spans="1:12" ht="28.5" thickBot="1">
      <c r="A213" s="8" t="s">
        <v>120</v>
      </c>
      <c r="B213" s="11"/>
      <c r="C213" s="231"/>
      <c r="D213" s="149">
        <f t="shared" si="15"/>
        <v>6.39</v>
      </c>
      <c r="E213" s="148">
        <v>6.39</v>
      </c>
      <c r="F213" s="148"/>
      <c r="G213" s="149">
        <f t="shared" si="16"/>
        <v>3.1949999999999998</v>
      </c>
      <c r="H213" s="148">
        <v>3.1949999999999998</v>
      </c>
      <c r="I213" s="148"/>
      <c r="J213" s="149">
        <f t="shared" si="17"/>
        <v>6.39</v>
      </c>
      <c r="K213" s="138">
        <f>3.195+3.195</f>
        <v>6.39</v>
      </c>
      <c r="L213" s="138"/>
    </row>
    <row r="214" spans="1:12" ht="27.75" hidden="1">
      <c r="A214" s="8" t="s">
        <v>121</v>
      </c>
      <c r="B214" s="11"/>
      <c r="C214" s="231"/>
      <c r="D214" s="149">
        <f t="shared" si="15"/>
        <v>0</v>
      </c>
      <c r="E214" s="148"/>
      <c r="F214" s="148"/>
      <c r="G214" s="149">
        <f t="shared" si="16"/>
        <v>0</v>
      </c>
      <c r="H214" s="148"/>
      <c r="I214" s="148"/>
      <c r="J214" s="149">
        <f t="shared" si="17"/>
        <v>0</v>
      </c>
      <c r="K214" s="138"/>
      <c r="L214" s="138"/>
    </row>
    <row r="215" spans="1:12" ht="27.75" hidden="1">
      <c r="A215" s="8" t="s">
        <v>122</v>
      </c>
      <c r="B215" s="11"/>
      <c r="C215" s="231"/>
      <c r="D215" s="149">
        <f t="shared" si="15"/>
        <v>0</v>
      </c>
      <c r="E215" s="148"/>
      <c r="F215" s="148"/>
      <c r="G215" s="149">
        <f t="shared" si="16"/>
        <v>0</v>
      </c>
      <c r="H215" s="148"/>
      <c r="I215" s="148"/>
      <c r="J215" s="149">
        <f t="shared" si="17"/>
        <v>0</v>
      </c>
      <c r="K215" s="138"/>
      <c r="L215" s="138"/>
    </row>
    <row r="216" spans="1:12" ht="20.25" hidden="1" thickBot="1">
      <c r="A216" s="8" t="s">
        <v>140</v>
      </c>
      <c r="B216" s="11"/>
      <c r="C216" s="231"/>
      <c r="D216" s="149">
        <f t="shared" ref="D216:D221" si="26">E216+F216</f>
        <v>0</v>
      </c>
      <c r="E216" s="148"/>
      <c r="F216" s="148"/>
      <c r="G216" s="149">
        <f t="shared" ref="G216:G221" si="27">H216+I216</f>
        <v>0</v>
      </c>
      <c r="H216" s="148"/>
      <c r="I216" s="148"/>
      <c r="J216" s="149">
        <f t="shared" ref="J216:J221" si="28">K216+L216</f>
        <v>0</v>
      </c>
      <c r="K216" s="138"/>
      <c r="L216" s="138"/>
    </row>
    <row r="217" spans="1:12" ht="19.5" hidden="1">
      <c r="A217" s="8"/>
      <c r="B217" s="11"/>
      <c r="C217" s="231"/>
      <c r="D217" s="149">
        <f t="shared" si="26"/>
        <v>0</v>
      </c>
      <c r="E217" s="148"/>
      <c r="F217" s="148"/>
      <c r="G217" s="149">
        <f t="shared" si="27"/>
        <v>0</v>
      </c>
      <c r="H217" s="148"/>
      <c r="I217" s="148"/>
      <c r="J217" s="149">
        <f t="shared" si="28"/>
        <v>0</v>
      </c>
      <c r="K217" s="138"/>
      <c r="L217" s="138"/>
    </row>
    <row r="218" spans="1:12" ht="19.5" hidden="1">
      <c r="A218" s="8"/>
      <c r="B218" s="11"/>
      <c r="C218" s="231"/>
      <c r="D218" s="149">
        <f t="shared" si="26"/>
        <v>0</v>
      </c>
      <c r="E218" s="148"/>
      <c r="F218" s="148"/>
      <c r="G218" s="149">
        <f t="shared" si="27"/>
        <v>0</v>
      </c>
      <c r="H218" s="148"/>
      <c r="I218" s="148"/>
      <c r="J218" s="149">
        <f t="shared" si="28"/>
        <v>0</v>
      </c>
      <c r="K218" s="138"/>
      <c r="L218" s="138"/>
    </row>
    <row r="219" spans="1:12" ht="19.5" hidden="1">
      <c r="A219" s="8"/>
      <c r="B219" s="11"/>
      <c r="C219" s="232"/>
      <c r="D219" s="149">
        <f t="shared" si="26"/>
        <v>0</v>
      </c>
      <c r="E219" s="148"/>
      <c r="F219" s="148"/>
      <c r="G219" s="149">
        <f t="shared" si="27"/>
        <v>0</v>
      </c>
      <c r="H219" s="148"/>
      <c r="I219" s="148"/>
      <c r="J219" s="149">
        <f t="shared" si="28"/>
        <v>0</v>
      </c>
      <c r="K219" s="138"/>
      <c r="L219" s="138"/>
    </row>
    <row r="220" spans="1:12" s="25" customFormat="1" ht="19.5" hidden="1">
      <c r="A220" s="27" t="s">
        <v>124</v>
      </c>
      <c r="B220" s="21">
        <v>350</v>
      </c>
      <c r="C220" s="21"/>
      <c r="D220" s="149">
        <f t="shared" si="26"/>
        <v>0</v>
      </c>
      <c r="E220" s="150">
        <f>E221</f>
        <v>0</v>
      </c>
      <c r="F220" s="150">
        <f t="shared" ref="F220:L220" si="29">F221</f>
        <v>0</v>
      </c>
      <c r="G220" s="149">
        <f t="shared" si="27"/>
        <v>0</v>
      </c>
      <c r="H220" s="150">
        <f t="shared" si="29"/>
        <v>0</v>
      </c>
      <c r="I220" s="150">
        <f t="shared" si="29"/>
        <v>0</v>
      </c>
      <c r="J220" s="149">
        <f t="shared" si="28"/>
        <v>0</v>
      </c>
      <c r="K220" s="139">
        <f t="shared" si="29"/>
        <v>0</v>
      </c>
      <c r="L220" s="139">
        <f t="shared" si="29"/>
        <v>0</v>
      </c>
    </row>
    <row r="221" spans="1:12" s="23" customFormat="1" ht="41.25" hidden="1" thickBot="1">
      <c r="A221" s="6" t="s">
        <v>125</v>
      </c>
      <c r="B221" s="10"/>
      <c r="C221" s="10">
        <v>353</v>
      </c>
      <c r="D221" s="149">
        <f t="shared" si="26"/>
        <v>0</v>
      </c>
      <c r="E221" s="152"/>
      <c r="F221" s="152"/>
      <c r="G221" s="149">
        <f t="shared" si="27"/>
        <v>0</v>
      </c>
      <c r="H221" s="160"/>
      <c r="I221" s="152"/>
      <c r="J221" s="161">
        <f t="shared" si="28"/>
        <v>0</v>
      </c>
      <c r="K221" s="141"/>
      <c r="L221" s="141"/>
    </row>
    <row r="222" spans="1:12" ht="15.75" thickBot="1">
      <c r="H222" s="164" t="s">
        <v>195</v>
      </c>
      <c r="J222" s="165">
        <f>D44+H5+I5-K45-L45</f>
        <v>179.73340999999976</v>
      </c>
    </row>
    <row r="224" spans="1:12">
      <c r="A224" s="24" t="s">
        <v>158</v>
      </c>
    </row>
    <row r="225" spans="1:14">
      <c r="D225" s="197" t="s">
        <v>167</v>
      </c>
      <c r="E225" s="198">
        <f>64.413+0.998+22.734+22.734+18.945+6.12486-6.12486</f>
        <v>129.82400000000001</v>
      </c>
      <c r="F225" s="198">
        <v>226</v>
      </c>
      <c r="N225" s="185"/>
    </row>
    <row r="227" spans="1:14">
      <c r="A227" s="162"/>
      <c r="B227" s="163"/>
    </row>
    <row r="228" spans="1:14">
      <c r="A228" s="162"/>
      <c r="B228" s="163"/>
    </row>
  </sheetData>
  <sheetProtection password="CF7E" sheet="1" objects="1" scenarios="1" formatCells="0" formatColumns="0" formatRows="0"/>
  <mergeCells count="29">
    <mergeCell ref="C150:C156"/>
    <mergeCell ref="C158:C166"/>
    <mergeCell ref="C199:C211"/>
    <mergeCell ref="C212:C219"/>
    <mergeCell ref="C169:C172"/>
    <mergeCell ref="C74:C104"/>
    <mergeCell ref="C105:C127"/>
    <mergeCell ref="C128:C132"/>
    <mergeCell ref="C133:C143"/>
    <mergeCell ref="C145:C149"/>
    <mergeCell ref="B7:B34"/>
    <mergeCell ref="B37:B43"/>
    <mergeCell ref="C47:C49"/>
    <mergeCell ref="C51:C53"/>
    <mergeCell ref="C57:C73"/>
    <mergeCell ref="A2:A4"/>
    <mergeCell ref="D2:F2"/>
    <mergeCell ref="G2:I2"/>
    <mergeCell ref="J2:L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2:C3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84"/>
  <sheetViews>
    <sheetView view="pageBreakPreview" zoomScale="60" zoomScaleNormal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B105" sqref="AB105"/>
    </sheetView>
  </sheetViews>
  <sheetFormatPr defaultRowHeight="15.75"/>
  <cols>
    <col min="1" max="1" width="82.85546875" style="54" bestFit="1" customWidth="1"/>
    <col min="2" max="2" width="11.140625" style="54" bestFit="1" customWidth="1"/>
    <col min="3" max="3" width="10.5703125" style="54" customWidth="1"/>
    <col min="4" max="4" width="13.28515625" style="54" customWidth="1"/>
    <col min="5" max="5" width="23.140625" style="54" customWidth="1"/>
    <col min="6" max="6" width="22.7109375" style="54" customWidth="1"/>
    <col min="7" max="7" width="23.42578125" style="54" hidden="1" customWidth="1"/>
    <col min="8" max="8" width="25.140625" style="54" hidden="1" customWidth="1"/>
    <col min="9" max="9" width="16.85546875" style="54" hidden="1" customWidth="1"/>
    <col min="10" max="10" width="13.42578125" style="54" hidden="1" customWidth="1"/>
    <col min="11" max="11" width="15" style="54" hidden="1" customWidth="1"/>
    <col min="12" max="15" width="13.85546875" style="54" hidden="1" customWidth="1"/>
    <col min="16" max="16" width="27.140625" style="54" customWidth="1"/>
    <col min="17" max="17" width="20.85546875" style="54" customWidth="1"/>
    <col min="18" max="18" width="21.85546875" style="54" hidden="1" customWidth="1"/>
    <col min="19" max="19" width="22.42578125" style="54" hidden="1" customWidth="1"/>
    <col min="20" max="20" width="15" style="54" hidden="1" customWidth="1"/>
    <col min="21" max="21" width="15.5703125" style="54" hidden="1" customWidth="1"/>
    <col min="22" max="22" width="15.140625" style="54" hidden="1" customWidth="1"/>
    <col min="23" max="26" width="14.140625" style="54" hidden="1" customWidth="1"/>
    <col min="27" max="27" width="20.28515625" style="54" customWidth="1"/>
    <col min="28" max="28" width="20.42578125" style="54" customWidth="1"/>
    <col min="29" max="29" width="23.28515625" style="54" hidden="1" customWidth="1"/>
    <col min="30" max="30" width="23.7109375" style="54" hidden="1" customWidth="1"/>
    <col min="31" max="31" width="14.28515625" style="54" hidden="1" customWidth="1"/>
    <col min="32" max="32" width="14.85546875" style="54" hidden="1" customWidth="1"/>
    <col min="33" max="33" width="14.7109375" style="54" hidden="1" customWidth="1"/>
    <col min="34" max="37" width="13.7109375" style="54" hidden="1" customWidth="1"/>
    <col min="38" max="38" width="15.5703125" style="54" customWidth="1"/>
    <col min="39" max="39" width="13.28515625" style="54" bestFit="1" customWidth="1"/>
    <col min="40" max="40" width="11.7109375" style="54" bestFit="1" customWidth="1"/>
    <col min="41" max="41" width="14.85546875" style="54" bestFit="1" customWidth="1"/>
    <col min="42" max="16384" width="9.140625" style="54"/>
  </cols>
  <sheetData>
    <row r="1" spans="1:39">
      <c r="A1" s="254" t="s">
        <v>165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39" ht="21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1:39" ht="89.25" customHeight="1">
      <c r="A3" s="255" t="s">
        <v>234</v>
      </c>
      <c r="B3" s="242" t="s">
        <v>132</v>
      </c>
      <c r="C3" s="261" t="s">
        <v>13</v>
      </c>
      <c r="D3" s="262"/>
      <c r="E3" s="251" t="s">
        <v>136</v>
      </c>
      <c r="F3" s="245" t="s">
        <v>142</v>
      </c>
      <c r="G3" s="245" t="s">
        <v>143</v>
      </c>
      <c r="H3" s="245" t="s">
        <v>144</v>
      </c>
      <c r="I3" s="258"/>
      <c r="J3" s="245"/>
      <c r="K3" s="245"/>
      <c r="L3" s="245"/>
      <c r="M3" s="245"/>
      <c r="N3" s="245"/>
      <c r="O3" s="245"/>
      <c r="P3" s="251" t="s">
        <v>137</v>
      </c>
      <c r="Q3" s="245" t="s">
        <v>142</v>
      </c>
      <c r="R3" s="245" t="s">
        <v>143</v>
      </c>
      <c r="S3" s="245" t="s">
        <v>144</v>
      </c>
      <c r="T3" s="258"/>
      <c r="U3" s="245"/>
      <c r="V3" s="245"/>
      <c r="W3" s="245"/>
      <c r="X3" s="245"/>
      <c r="Y3" s="245"/>
      <c r="Z3" s="245"/>
      <c r="AA3" s="251" t="s">
        <v>138</v>
      </c>
      <c r="AB3" s="245" t="s">
        <v>142</v>
      </c>
      <c r="AC3" s="245" t="s">
        <v>143</v>
      </c>
      <c r="AD3" s="245" t="s">
        <v>144</v>
      </c>
      <c r="AE3" s="258"/>
      <c r="AF3" s="245"/>
      <c r="AG3" s="245"/>
      <c r="AH3" s="245"/>
      <c r="AI3" s="245"/>
      <c r="AJ3" s="245"/>
      <c r="AK3" s="245"/>
    </row>
    <row r="4" spans="1:39" ht="42.75" customHeight="1">
      <c r="A4" s="256"/>
      <c r="B4" s="243"/>
      <c r="C4" s="242" t="s">
        <v>14</v>
      </c>
      <c r="D4" s="242" t="s">
        <v>15</v>
      </c>
      <c r="E4" s="252"/>
      <c r="F4" s="246"/>
      <c r="G4" s="246"/>
      <c r="H4" s="246"/>
      <c r="I4" s="259"/>
      <c r="J4" s="246"/>
      <c r="K4" s="246"/>
      <c r="L4" s="246"/>
      <c r="M4" s="246"/>
      <c r="N4" s="246"/>
      <c r="O4" s="246"/>
      <c r="P4" s="252"/>
      <c r="Q4" s="246"/>
      <c r="R4" s="246"/>
      <c r="S4" s="246"/>
      <c r="T4" s="259"/>
      <c r="U4" s="246"/>
      <c r="V4" s="246"/>
      <c r="W4" s="246"/>
      <c r="X4" s="246"/>
      <c r="Y4" s="246"/>
      <c r="Z4" s="246"/>
      <c r="AA4" s="252"/>
      <c r="AB4" s="246"/>
      <c r="AC4" s="246"/>
      <c r="AD4" s="246"/>
      <c r="AE4" s="259"/>
      <c r="AF4" s="246"/>
      <c r="AG4" s="246"/>
      <c r="AH4" s="246"/>
      <c r="AI4" s="246"/>
      <c r="AJ4" s="246"/>
      <c r="AK4" s="246"/>
    </row>
    <row r="5" spans="1:39" ht="113.25" customHeight="1">
      <c r="A5" s="257"/>
      <c r="B5" s="244"/>
      <c r="C5" s="244"/>
      <c r="D5" s="244"/>
      <c r="E5" s="253"/>
      <c r="F5" s="247"/>
      <c r="G5" s="247"/>
      <c r="H5" s="247"/>
      <c r="I5" s="260"/>
      <c r="J5" s="247"/>
      <c r="K5" s="247"/>
      <c r="L5" s="247"/>
      <c r="M5" s="247"/>
      <c r="N5" s="247"/>
      <c r="O5" s="247"/>
      <c r="P5" s="253"/>
      <c r="Q5" s="247"/>
      <c r="R5" s="247"/>
      <c r="S5" s="247"/>
      <c r="T5" s="260"/>
      <c r="U5" s="247"/>
      <c r="V5" s="247"/>
      <c r="W5" s="247"/>
      <c r="X5" s="247"/>
      <c r="Y5" s="247"/>
      <c r="Z5" s="247"/>
      <c r="AA5" s="253"/>
      <c r="AB5" s="247"/>
      <c r="AC5" s="247"/>
      <c r="AD5" s="247"/>
      <c r="AE5" s="260"/>
      <c r="AF5" s="247"/>
      <c r="AG5" s="247"/>
      <c r="AH5" s="247"/>
      <c r="AI5" s="247"/>
      <c r="AJ5" s="247"/>
      <c r="AK5" s="247"/>
    </row>
    <row r="6" spans="1:39" s="66" customFormat="1" ht="57" customHeight="1">
      <c r="A6" s="65" t="s">
        <v>131</v>
      </c>
      <c r="B6" s="86">
        <v>621</v>
      </c>
      <c r="C6" s="87"/>
      <c r="D6" s="87"/>
      <c r="E6" s="67">
        <f>F6+G6+H6+I6+J6+K6+L6+M6+N6+O6</f>
        <v>37025.654849999999</v>
      </c>
      <c r="F6" s="67">
        <f>F7+F15+F105+F118+F138</f>
        <v>37025.654849999999</v>
      </c>
      <c r="G6" s="67">
        <f t="shared" ref="G6:O6" si="0">G7+G15+G105+G118+G138</f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si="0"/>
        <v>0</v>
      </c>
      <c r="P6" s="67">
        <f>Q6+R6+S6+T6+U6+V6+W6+X6+Y6+Z6</f>
        <v>37025.654849999999</v>
      </c>
      <c r="Q6" s="67">
        <f>Q7+Q15+Q105+Q118+Q138</f>
        <v>37025.654849999999</v>
      </c>
      <c r="R6" s="67">
        <f t="shared" ref="R6:Z6" si="1">R7+R15+R105+R118+R138</f>
        <v>0</v>
      </c>
      <c r="S6" s="67">
        <f t="shared" si="1"/>
        <v>0</v>
      </c>
      <c r="T6" s="67">
        <f t="shared" si="1"/>
        <v>0</v>
      </c>
      <c r="U6" s="67">
        <f t="shared" si="1"/>
        <v>0</v>
      </c>
      <c r="V6" s="67">
        <f t="shared" si="1"/>
        <v>0</v>
      </c>
      <c r="W6" s="67">
        <f t="shared" si="1"/>
        <v>0</v>
      </c>
      <c r="X6" s="67">
        <f t="shared" si="1"/>
        <v>0</v>
      </c>
      <c r="Y6" s="67">
        <f t="shared" si="1"/>
        <v>0</v>
      </c>
      <c r="Z6" s="67">
        <f t="shared" si="1"/>
        <v>0</v>
      </c>
      <c r="AA6" s="67">
        <f>AB6+AC6+AD6+AE6+AF6+AG6+AH6+AI6+AJ6+AK6</f>
        <v>37025.654849999999</v>
      </c>
      <c r="AB6" s="67">
        <f>AB7+AB15+AB105+AB118+AB138</f>
        <v>37025.654849999999</v>
      </c>
      <c r="AC6" s="67">
        <f t="shared" ref="AC6:AK6" si="2">AC7+AC15+AC105+AC118+AC138</f>
        <v>0</v>
      </c>
      <c r="AD6" s="67">
        <f t="shared" si="2"/>
        <v>0</v>
      </c>
      <c r="AE6" s="67">
        <f t="shared" si="2"/>
        <v>0</v>
      </c>
      <c r="AF6" s="67">
        <f t="shared" si="2"/>
        <v>0</v>
      </c>
      <c r="AG6" s="67">
        <f t="shared" si="2"/>
        <v>0</v>
      </c>
      <c r="AH6" s="67">
        <f t="shared" si="2"/>
        <v>0</v>
      </c>
      <c r="AI6" s="67">
        <f t="shared" si="2"/>
        <v>0</v>
      </c>
      <c r="AJ6" s="67">
        <f t="shared" si="2"/>
        <v>0</v>
      </c>
      <c r="AK6" s="67">
        <f t="shared" si="2"/>
        <v>0</v>
      </c>
      <c r="AM6" s="211"/>
    </row>
    <row r="7" spans="1:39" s="56" customFormat="1" ht="20.25">
      <c r="A7" s="29" t="s">
        <v>17</v>
      </c>
      <c r="B7" s="74"/>
      <c r="C7" s="75">
        <v>210</v>
      </c>
      <c r="D7" s="76"/>
      <c r="E7" s="67">
        <f t="shared" ref="E7:E70" si="3">F7+G7+H7+I7+J7+K7+L7+M7+N7+O7</f>
        <v>31184.198270000001</v>
      </c>
      <c r="F7" s="68">
        <f>F8+F11+F12</f>
        <v>31184.198270000001</v>
      </c>
      <c r="G7" s="68">
        <f t="shared" ref="G7:O7" si="4">G8+G11+G12</f>
        <v>0</v>
      </c>
      <c r="H7" s="68">
        <f t="shared" si="4"/>
        <v>0</v>
      </c>
      <c r="I7" s="68">
        <f t="shared" si="4"/>
        <v>0</v>
      </c>
      <c r="J7" s="68">
        <f t="shared" si="4"/>
        <v>0</v>
      </c>
      <c r="K7" s="68">
        <f t="shared" si="4"/>
        <v>0</v>
      </c>
      <c r="L7" s="68">
        <f t="shared" si="4"/>
        <v>0</v>
      </c>
      <c r="M7" s="68">
        <f t="shared" si="4"/>
        <v>0</v>
      </c>
      <c r="N7" s="68">
        <f t="shared" si="4"/>
        <v>0</v>
      </c>
      <c r="O7" s="68">
        <f t="shared" si="4"/>
        <v>0</v>
      </c>
      <c r="P7" s="67">
        <f t="shared" ref="P7:P70" si="5">Q7+R7+S7+T7+U7+V7+W7+X7+Y7+Z7</f>
        <v>31184.198270000001</v>
      </c>
      <c r="Q7" s="68">
        <f>Q8+Q11+Q12</f>
        <v>31184.198270000001</v>
      </c>
      <c r="R7" s="68">
        <f t="shared" ref="R7:Z7" si="6">R8+R11+R12</f>
        <v>0</v>
      </c>
      <c r="S7" s="68">
        <f t="shared" si="6"/>
        <v>0</v>
      </c>
      <c r="T7" s="68">
        <f t="shared" si="6"/>
        <v>0</v>
      </c>
      <c r="U7" s="68">
        <f t="shared" si="6"/>
        <v>0</v>
      </c>
      <c r="V7" s="68">
        <f t="shared" si="6"/>
        <v>0</v>
      </c>
      <c r="W7" s="68">
        <f t="shared" si="6"/>
        <v>0</v>
      </c>
      <c r="X7" s="68">
        <f t="shared" si="6"/>
        <v>0</v>
      </c>
      <c r="Y7" s="68">
        <f t="shared" si="6"/>
        <v>0</v>
      </c>
      <c r="Z7" s="68">
        <f t="shared" si="6"/>
        <v>0</v>
      </c>
      <c r="AA7" s="67">
        <f t="shared" ref="AA7:AA27" si="7">AB7+AC7+AD7+AE7+AF7+AG7+AH7+AI7+AJ7+AK7</f>
        <v>31184.198270000001</v>
      </c>
      <c r="AB7" s="68">
        <f>AB8+AB11+AB12</f>
        <v>31184.198270000001</v>
      </c>
      <c r="AC7" s="68">
        <f t="shared" ref="AC7:AK7" si="8">AC8+AC11+AC12</f>
        <v>0</v>
      </c>
      <c r="AD7" s="68">
        <f t="shared" si="8"/>
        <v>0</v>
      </c>
      <c r="AE7" s="68">
        <f t="shared" si="8"/>
        <v>0</v>
      </c>
      <c r="AF7" s="68">
        <f t="shared" si="8"/>
        <v>0</v>
      </c>
      <c r="AG7" s="68">
        <f t="shared" si="8"/>
        <v>0</v>
      </c>
      <c r="AH7" s="68">
        <f t="shared" si="8"/>
        <v>0</v>
      </c>
      <c r="AI7" s="68">
        <f t="shared" si="8"/>
        <v>0</v>
      </c>
      <c r="AJ7" s="68">
        <f t="shared" si="8"/>
        <v>0</v>
      </c>
      <c r="AK7" s="68">
        <f t="shared" si="8"/>
        <v>0</v>
      </c>
    </row>
    <row r="8" spans="1:39" s="60" customFormat="1" ht="20.25">
      <c r="A8" s="1" t="s">
        <v>18</v>
      </c>
      <c r="B8" s="70"/>
      <c r="C8" s="71"/>
      <c r="D8" s="248">
        <v>211</v>
      </c>
      <c r="E8" s="67">
        <f t="shared" si="3"/>
        <v>23899.034670000001</v>
      </c>
      <c r="F8" s="69">
        <f>SUM(F9:F10)</f>
        <v>23899.034670000001</v>
      </c>
      <c r="G8" s="69">
        <f t="shared" ref="G8:O8" si="9">SUM(G9:G10)</f>
        <v>0</v>
      </c>
      <c r="H8" s="69">
        <f t="shared" si="9"/>
        <v>0</v>
      </c>
      <c r="I8" s="69">
        <f t="shared" si="9"/>
        <v>0</v>
      </c>
      <c r="J8" s="69">
        <f t="shared" si="9"/>
        <v>0</v>
      </c>
      <c r="K8" s="69">
        <f t="shared" si="9"/>
        <v>0</v>
      </c>
      <c r="L8" s="69">
        <f t="shared" si="9"/>
        <v>0</v>
      </c>
      <c r="M8" s="69">
        <f t="shared" si="9"/>
        <v>0</v>
      </c>
      <c r="N8" s="69">
        <f t="shared" si="9"/>
        <v>0</v>
      </c>
      <c r="O8" s="69">
        <f t="shared" si="9"/>
        <v>0</v>
      </c>
      <c r="P8" s="67">
        <f t="shared" si="5"/>
        <v>23899.034670000001</v>
      </c>
      <c r="Q8" s="69">
        <f>SUM(Q9:Q10)</f>
        <v>23899.034670000001</v>
      </c>
      <c r="R8" s="69">
        <f t="shared" ref="R8:Z8" si="10">SUM(R9:R10)</f>
        <v>0</v>
      </c>
      <c r="S8" s="69">
        <f t="shared" si="10"/>
        <v>0</v>
      </c>
      <c r="T8" s="69">
        <f t="shared" si="10"/>
        <v>0</v>
      </c>
      <c r="U8" s="69">
        <f t="shared" si="10"/>
        <v>0</v>
      </c>
      <c r="V8" s="69">
        <f t="shared" si="10"/>
        <v>0</v>
      </c>
      <c r="W8" s="69">
        <f t="shared" si="10"/>
        <v>0</v>
      </c>
      <c r="X8" s="69">
        <f t="shared" si="10"/>
        <v>0</v>
      </c>
      <c r="Y8" s="69">
        <f t="shared" si="10"/>
        <v>0</v>
      </c>
      <c r="Z8" s="69">
        <f t="shared" si="10"/>
        <v>0</v>
      </c>
      <c r="AA8" s="67">
        <f t="shared" si="7"/>
        <v>23899.034670000001</v>
      </c>
      <c r="AB8" s="69">
        <f>SUM(AB9:AB10)</f>
        <v>23899.034670000001</v>
      </c>
      <c r="AC8" s="69">
        <f t="shared" ref="AC8:AK8" si="11">SUM(AC9:AC10)</f>
        <v>0</v>
      </c>
      <c r="AD8" s="69">
        <f t="shared" si="11"/>
        <v>0</v>
      </c>
      <c r="AE8" s="69">
        <f t="shared" si="11"/>
        <v>0</v>
      </c>
      <c r="AF8" s="69">
        <f t="shared" si="11"/>
        <v>0</v>
      </c>
      <c r="AG8" s="69">
        <f t="shared" si="11"/>
        <v>0</v>
      </c>
      <c r="AH8" s="69">
        <f t="shared" si="11"/>
        <v>0</v>
      </c>
      <c r="AI8" s="69">
        <f t="shared" si="11"/>
        <v>0</v>
      </c>
      <c r="AJ8" s="69">
        <f t="shared" si="11"/>
        <v>0</v>
      </c>
      <c r="AK8" s="69">
        <f t="shared" si="11"/>
        <v>0</v>
      </c>
      <c r="AL8" s="193"/>
    </row>
    <row r="9" spans="1:39" ht="20.25">
      <c r="A9" s="32" t="s">
        <v>19</v>
      </c>
      <c r="B9" s="72"/>
      <c r="C9" s="73"/>
      <c r="D9" s="249"/>
      <c r="E9" s="67">
        <f t="shared" si="3"/>
        <v>15353.91675</v>
      </c>
      <c r="F9" s="57">
        <f>15353.91675</f>
        <v>15353.91675</v>
      </c>
      <c r="G9" s="57"/>
      <c r="H9" s="57"/>
      <c r="I9" s="58"/>
      <c r="J9" s="58"/>
      <c r="K9" s="58"/>
      <c r="L9" s="58"/>
      <c r="M9" s="58"/>
      <c r="N9" s="58"/>
      <c r="O9" s="58"/>
      <c r="P9" s="67">
        <f t="shared" si="5"/>
        <v>15353.91675</v>
      </c>
      <c r="Q9" s="57">
        <f>491.2+1281.5+1249.1+2115.2+742+97+2316.50145+856+444.4+1001.7+1372+1276.1+2111.2153</f>
        <v>15353.91675</v>
      </c>
      <c r="R9" s="57"/>
      <c r="S9" s="57"/>
      <c r="T9" s="58"/>
      <c r="U9" s="58"/>
      <c r="V9" s="58"/>
      <c r="W9" s="58"/>
      <c r="X9" s="58"/>
      <c r="Y9" s="58"/>
      <c r="Z9" s="58"/>
      <c r="AA9" s="67">
        <f t="shared" si="7"/>
        <v>15353.91675</v>
      </c>
      <c r="AB9" s="57">
        <f>484.11506+1277.62863+1246.6732+2128.17033+667.29579+2279.7763+980.10288+489.6075+1001.85954+1365.22051+1306.14455+2127.32246</f>
        <v>15353.91675</v>
      </c>
      <c r="AC9" s="57"/>
      <c r="AD9" s="57"/>
      <c r="AE9" s="58"/>
      <c r="AF9" s="58"/>
      <c r="AG9" s="58"/>
      <c r="AH9" s="58"/>
      <c r="AI9" s="58"/>
      <c r="AJ9" s="58"/>
      <c r="AK9" s="58"/>
      <c r="AL9" s="190"/>
    </row>
    <row r="10" spans="1:39" ht="20.25">
      <c r="A10" s="32" t="s">
        <v>148</v>
      </c>
      <c r="B10" s="72"/>
      <c r="C10" s="73"/>
      <c r="D10" s="250"/>
      <c r="E10" s="67">
        <f t="shared" si="3"/>
        <v>8545.1179200000006</v>
      </c>
      <c r="F10" s="57">
        <v>8545.1179200000006</v>
      </c>
      <c r="G10" s="57"/>
      <c r="H10" s="57"/>
      <c r="I10" s="57"/>
      <c r="J10" s="57"/>
      <c r="K10" s="57"/>
      <c r="L10" s="57"/>
      <c r="M10" s="57"/>
      <c r="N10" s="57"/>
      <c r="O10" s="57"/>
      <c r="P10" s="67">
        <f t="shared" si="5"/>
        <v>8545.1179199999988</v>
      </c>
      <c r="Q10" s="57">
        <f>300+760.4+667.6-0.02417+1060.52417+388.5+35+812.3+834.7+551.1+673.9+675.2+616.4+275.04934+894.46858</f>
        <v>8545.1179199999988</v>
      </c>
      <c r="R10" s="57"/>
      <c r="S10" s="57"/>
      <c r="T10" s="57"/>
      <c r="U10" s="57"/>
      <c r="V10" s="57"/>
      <c r="W10" s="57"/>
      <c r="X10" s="57"/>
      <c r="Y10" s="57"/>
      <c r="Z10" s="57"/>
      <c r="AA10" s="67">
        <f t="shared" si="7"/>
        <v>8545.1179200000006</v>
      </c>
      <c r="AB10" s="57">
        <f>289.63311+737.36212+689.28634+1072.21843+310.97114+899.32231+826.60402+502.3944+684.83728+673.6092+659.95664+1198.92293</f>
        <v>8545.1179200000006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208"/>
    </row>
    <row r="11" spans="1:39" s="60" customFormat="1" ht="31.5">
      <c r="A11" s="1" t="s">
        <v>20</v>
      </c>
      <c r="B11" s="70"/>
      <c r="C11" s="71"/>
      <c r="D11" s="84">
        <v>212</v>
      </c>
      <c r="E11" s="67">
        <f t="shared" si="3"/>
        <v>0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7">
        <f t="shared" si="5"/>
        <v>0</v>
      </c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67">
        <f t="shared" si="7"/>
        <v>0</v>
      </c>
      <c r="AB11" s="59"/>
      <c r="AC11" s="59"/>
      <c r="AD11" s="59"/>
      <c r="AE11" s="59"/>
      <c r="AF11" s="59"/>
      <c r="AG11" s="59"/>
      <c r="AH11" s="59"/>
      <c r="AI11" s="59"/>
      <c r="AJ11" s="59"/>
      <c r="AK11" s="59"/>
    </row>
    <row r="12" spans="1:39" s="60" customFormat="1" ht="20.25">
      <c r="A12" s="1" t="s">
        <v>21</v>
      </c>
      <c r="B12" s="70"/>
      <c r="C12" s="71"/>
      <c r="D12" s="248">
        <v>213</v>
      </c>
      <c r="E12" s="67">
        <f t="shared" si="3"/>
        <v>7285.1635999999999</v>
      </c>
      <c r="F12" s="69">
        <f t="shared" ref="F12:O12" si="12">SUM(F13:F14)</f>
        <v>7285.1635999999999</v>
      </c>
      <c r="G12" s="69">
        <f t="shared" si="12"/>
        <v>0</v>
      </c>
      <c r="H12" s="69">
        <f t="shared" si="12"/>
        <v>0</v>
      </c>
      <c r="I12" s="69">
        <f t="shared" si="12"/>
        <v>0</v>
      </c>
      <c r="J12" s="69">
        <f t="shared" si="12"/>
        <v>0</v>
      </c>
      <c r="K12" s="69">
        <f t="shared" si="12"/>
        <v>0</v>
      </c>
      <c r="L12" s="69">
        <f t="shared" si="12"/>
        <v>0</v>
      </c>
      <c r="M12" s="69">
        <f t="shared" si="12"/>
        <v>0</v>
      </c>
      <c r="N12" s="69">
        <f t="shared" si="12"/>
        <v>0</v>
      </c>
      <c r="O12" s="69">
        <f t="shared" si="12"/>
        <v>0</v>
      </c>
      <c r="P12" s="67">
        <f t="shared" si="5"/>
        <v>7285.1635999999999</v>
      </c>
      <c r="Q12" s="69">
        <f t="shared" ref="Q12:Z12" si="13">SUM(Q13:Q14)</f>
        <v>7285.1635999999999</v>
      </c>
      <c r="R12" s="69">
        <f t="shared" si="13"/>
        <v>0</v>
      </c>
      <c r="S12" s="69">
        <f t="shared" si="13"/>
        <v>0</v>
      </c>
      <c r="T12" s="69">
        <f t="shared" si="13"/>
        <v>0</v>
      </c>
      <c r="U12" s="69">
        <f t="shared" si="13"/>
        <v>0</v>
      </c>
      <c r="V12" s="69">
        <f t="shared" si="13"/>
        <v>0</v>
      </c>
      <c r="W12" s="69">
        <f t="shared" si="13"/>
        <v>0</v>
      </c>
      <c r="X12" s="69">
        <f t="shared" si="13"/>
        <v>0</v>
      </c>
      <c r="Y12" s="69">
        <f t="shared" si="13"/>
        <v>0</v>
      </c>
      <c r="Z12" s="69">
        <f t="shared" si="13"/>
        <v>0</v>
      </c>
      <c r="AA12" s="67">
        <f t="shared" si="7"/>
        <v>7285.1635999999999</v>
      </c>
      <c r="AB12" s="69">
        <f t="shared" ref="AB12:AK12" si="14">SUM(AB13:AB14)</f>
        <v>7285.1635999999999</v>
      </c>
      <c r="AC12" s="69">
        <f t="shared" si="14"/>
        <v>0</v>
      </c>
      <c r="AD12" s="69">
        <f t="shared" si="14"/>
        <v>0</v>
      </c>
      <c r="AE12" s="69">
        <f t="shared" si="14"/>
        <v>0</v>
      </c>
      <c r="AF12" s="69">
        <f t="shared" si="14"/>
        <v>0</v>
      </c>
      <c r="AG12" s="69">
        <f t="shared" si="14"/>
        <v>0</v>
      </c>
      <c r="AH12" s="69">
        <f t="shared" si="14"/>
        <v>0</v>
      </c>
      <c r="AI12" s="69">
        <f t="shared" si="14"/>
        <v>0</v>
      </c>
      <c r="AJ12" s="69">
        <f t="shared" si="14"/>
        <v>0</v>
      </c>
      <c r="AK12" s="69">
        <f t="shared" si="14"/>
        <v>0</v>
      </c>
    </row>
    <row r="13" spans="1:39" ht="20.25">
      <c r="A13" s="32" t="s">
        <v>19</v>
      </c>
      <c r="B13" s="72"/>
      <c r="C13" s="73"/>
      <c r="D13" s="249"/>
      <c r="E13" s="67">
        <f t="shared" si="3"/>
        <v>4659.6450500000001</v>
      </c>
      <c r="F13" s="57">
        <f>4659.64505</f>
        <v>4659.6450500000001</v>
      </c>
      <c r="G13" s="57"/>
      <c r="H13" s="57"/>
      <c r="I13" s="57"/>
      <c r="J13" s="57"/>
      <c r="K13" s="57"/>
      <c r="L13" s="57"/>
      <c r="M13" s="57"/>
      <c r="N13" s="57"/>
      <c r="O13" s="57"/>
      <c r="P13" s="67">
        <f t="shared" si="5"/>
        <v>4659.6450500000001</v>
      </c>
      <c r="Q13" s="57">
        <f>3709.2248+390.3+560.12025</f>
        <v>4659.6450500000001</v>
      </c>
      <c r="R13" s="57"/>
      <c r="S13" s="57"/>
      <c r="T13" s="57"/>
      <c r="U13" s="57"/>
      <c r="V13" s="57"/>
      <c r="W13" s="57"/>
      <c r="X13" s="57"/>
      <c r="Y13" s="57"/>
      <c r="Z13" s="57"/>
      <c r="AA13" s="67">
        <f t="shared" si="7"/>
        <v>4659.6450500000001</v>
      </c>
      <c r="AB13" s="57">
        <f>3688.6517+390.29533-6.12486+586.82288</f>
        <v>4659.6450500000001</v>
      </c>
      <c r="AC13" s="57"/>
      <c r="AD13" s="57"/>
      <c r="AE13" s="57"/>
      <c r="AF13" s="57"/>
      <c r="AG13" s="57"/>
      <c r="AH13" s="57"/>
      <c r="AI13" s="57"/>
      <c r="AJ13" s="57"/>
      <c r="AK13" s="57"/>
      <c r="AL13" s="190"/>
    </row>
    <row r="14" spans="1:39" ht="20.25">
      <c r="A14" s="32" t="s">
        <v>172</v>
      </c>
      <c r="B14" s="72"/>
      <c r="C14" s="73"/>
      <c r="D14" s="250"/>
      <c r="E14" s="67">
        <f t="shared" si="3"/>
        <v>2625.5185499999998</v>
      </c>
      <c r="F14" s="57">
        <v>2625.5185499999998</v>
      </c>
      <c r="G14" s="57"/>
      <c r="H14" s="57"/>
      <c r="I14" s="57"/>
      <c r="J14" s="57"/>
      <c r="K14" s="57"/>
      <c r="L14" s="57"/>
      <c r="M14" s="57"/>
      <c r="N14" s="57"/>
      <c r="O14" s="57"/>
      <c r="P14" s="67">
        <f t="shared" si="5"/>
        <v>2625.5185499999998</v>
      </c>
      <c r="Q14" s="57">
        <f>170.67375+214.5+210.5+0.02417+414.67583+230.9+282+189.5+155.8+222.1+200.7+334.1448</f>
        <v>2625.5185499999998</v>
      </c>
      <c r="R14" s="57"/>
      <c r="S14" s="57"/>
      <c r="T14" s="57"/>
      <c r="U14" s="57"/>
      <c r="V14" s="57"/>
      <c r="W14" s="57"/>
      <c r="X14" s="57"/>
      <c r="Y14" s="57"/>
      <c r="Z14" s="57"/>
      <c r="AA14" s="67">
        <f t="shared" si="7"/>
        <v>2625.5185500000002</v>
      </c>
      <c r="AB14" s="57">
        <f>170.57278+214.42467+210.70047+414.58839+230.93748+281.27576+189.43715+155.79667+222.02464+200.66521+335.09533</f>
        <v>2625.5185500000002</v>
      </c>
      <c r="AC14" s="57"/>
      <c r="AD14" s="57"/>
      <c r="AE14" s="57"/>
      <c r="AF14" s="57"/>
      <c r="AG14" s="57"/>
      <c r="AH14" s="57"/>
      <c r="AI14" s="57"/>
      <c r="AJ14" s="57"/>
      <c r="AK14" s="57"/>
      <c r="AL14" s="190"/>
    </row>
    <row r="15" spans="1:39" s="56" customFormat="1" ht="20.25">
      <c r="A15" s="29" t="s">
        <v>22</v>
      </c>
      <c r="B15" s="74"/>
      <c r="C15" s="75">
        <v>220</v>
      </c>
      <c r="D15" s="76"/>
      <c r="E15" s="67">
        <f t="shared" si="3"/>
        <v>3812.2240500000003</v>
      </c>
      <c r="F15" s="68">
        <f>F16+F17+F18+F35+F66+F89+F94</f>
        <v>3812.2240500000003</v>
      </c>
      <c r="G15" s="68">
        <f t="shared" ref="G15:O15" si="15">G16+G17+G18+G35+G66+G89+G94</f>
        <v>0</v>
      </c>
      <c r="H15" s="68">
        <f t="shared" si="15"/>
        <v>0</v>
      </c>
      <c r="I15" s="68">
        <f t="shared" si="15"/>
        <v>0</v>
      </c>
      <c r="J15" s="68">
        <f t="shared" si="15"/>
        <v>0</v>
      </c>
      <c r="K15" s="68">
        <f t="shared" si="15"/>
        <v>0</v>
      </c>
      <c r="L15" s="68">
        <f t="shared" si="15"/>
        <v>0</v>
      </c>
      <c r="M15" s="68">
        <f t="shared" si="15"/>
        <v>0</v>
      </c>
      <c r="N15" s="68">
        <f t="shared" si="15"/>
        <v>0</v>
      </c>
      <c r="O15" s="68">
        <f t="shared" si="15"/>
        <v>0</v>
      </c>
      <c r="P15" s="67">
        <f t="shared" si="5"/>
        <v>3812.2240500000003</v>
      </c>
      <c r="Q15" s="68">
        <f>Q16+Q17+Q18+Q35+Q66+Q89+Q94</f>
        <v>3812.2240500000003</v>
      </c>
      <c r="R15" s="68">
        <f t="shared" ref="R15:Z15" si="16">R16+R17+R18+R35+R66+R89+R94</f>
        <v>0</v>
      </c>
      <c r="S15" s="68">
        <f t="shared" si="16"/>
        <v>0</v>
      </c>
      <c r="T15" s="68">
        <f t="shared" si="16"/>
        <v>0</v>
      </c>
      <c r="U15" s="68">
        <f t="shared" si="16"/>
        <v>0</v>
      </c>
      <c r="V15" s="68">
        <f t="shared" si="16"/>
        <v>0</v>
      </c>
      <c r="W15" s="68">
        <f t="shared" si="16"/>
        <v>0</v>
      </c>
      <c r="X15" s="68">
        <f t="shared" si="16"/>
        <v>0</v>
      </c>
      <c r="Y15" s="68">
        <f t="shared" si="16"/>
        <v>0</v>
      </c>
      <c r="Z15" s="68">
        <f t="shared" si="16"/>
        <v>0</v>
      </c>
      <c r="AA15" s="67">
        <f t="shared" si="7"/>
        <v>3812.2240500000003</v>
      </c>
      <c r="AB15" s="68">
        <f>AB16+AB17+AB18+AB35+AB66+AB89+AB94</f>
        <v>3812.2240500000003</v>
      </c>
      <c r="AC15" s="68">
        <f t="shared" ref="AC15:AK15" si="17">AC16+AC17+AC18+AC35+AC66+AC89+AC94</f>
        <v>0</v>
      </c>
      <c r="AD15" s="68">
        <f t="shared" si="17"/>
        <v>0</v>
      </c>
      <c r="AE15" s="68">
        <f t="shared" si="17"/>
        <v>0</v>
      </c>
      <c r="AF15" s="68">
        <f t="shared" si="17"/>
        <v>0</v>
      </c>
      <c r="AG15" s="68">
        <f t="shared" si="17"/>
        <v>0</v>
      </c>
      <c r="AH15" s="68">
        <f t="shared" si="17"/>
        <v>0</v>
      </c>
      <c r="AI15" s="68">
        <f t="shared" si="17"/>
        <v>0</v>
      </c>
      <c r="AJ15" s="68">
        <f t="shared" si="17"/>
        <v>0</v>
      </c>
      <c r="AK15" s="68">
        <f t="shared" si="17"/>
        <v>0</v>
      </c>
    </row>
    <row r="16" spans="1:39" s="60" customFormat="1" ht="20.25">
      <c r="A16" s="26" t="s">
        <v>23</v>
      </c>
      <c r="B16" s="71"/>
      <c r="C16" s="71"/>
      <c r="D16" s="77">
        <v>221</v>
      </c>
      <c r="E16" s="67">
        <f t="shared" si="3"/>
        <v>91.2</v>
      </c>
      <c r="F16" s="59">
        <f>108-16.8</f>
        <v>91.2</v>
      </c>
      <c r="G16" s="59"/>
      <c r="H16" s="59"/>
      <c r="I16" s="59"/>
      <c r="J16" s="59"/>
      <c r="K16" s="59"/>
      <c r="L16" s="59"/>
      <c r="M16" s="59"/>
      <c r="N16" s="59"/>
      <c r="O16" s="59"/>
      <c r="P16" s="67">
        <f t="shared" si="5"/>
        <v>91.199999999999989</v>
      </c>
      <c r="Q16" s="59">
        <f>3.5+3+5+3+8+9+7.4+6+8+7.8+8+8+8+6.5</f>
        <v>91.199999999999989</v>
      </c>
      <c r="R16" s="59"/>
      <c r="S16" s="59"/>
      <c r="T16" s="59"/>
      <c r="U16" s="59"/>
      <c r="V16" s="59"/>
      <c r="W16" s="59"/>
      <c r="X16" s="59"/>
      <c r="Y16" s="59"/>
      <c r="Z16" s="59"/>
      <c r="AA16" s="67">
        <f t="shared" si="7"/>
        <v>91.199999999999989</v>
      </c>
      <c r="AB16" s="59">
        <f>3.5+3+5+3+8+9+7.4+6+8+7.8+8+8+8+6.5</f>
        <v>91.199999999999989</v>
      </c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41" s="60" customFormat="1" ht="20.25">
      <c r="A17" s="26" t="s">
        <v>24</v>
      </c>
      <c r="B17" s="71"/>
      <c r="C17" s="71"/>
      <c r="D17" s="77">
        <v>222</v>
      </c>
      <c r="E17" s="67">
        <f t="shared" si="3"/>
        <v>0</v>
      </c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7">
        <f t="shared" si="5"/>
        <v>0</v>
      </c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67">
        <f t="shared" si="7"/>
        <v>0</v>
      </c>
      <c r="AB17" s="59"/>
      <c r="AC17" s="59"/>
      <c r="AD17" s="59"/>
      <c r="AE17" s="59"/>
      <c r="AF17" s="59"/>
      <c r="AG17" s="59"/>
      <c r="AH17" s="59"/>
      <c r="AI17" s="59"/>
      <c r="AJ17" s="59"/>
      <c r="AK17" s="59"/>
    </row>
    <row r="18" spans="1:41" s="60" customFormat="1" ht="20.25">
      <c r="A18" s="26" t="s">
        <v>25</v>
      </c>
      <c r="B18" s="71"/>
      <c r="C18" s="71"/>
      <c r="D18" s="248">
        <v>223</v>
      </c>
      <c r="E18" s="67">
        <f t="shared" si="3"/>
        <v>1198.8800000000001</v>
      </c>
      <c r="F18" s="69">
        <f>SUM(F19:F34)</f>
        <v>1198.8800000000001</v>
      </c>
      <c r="G18" s="69">
        <f t="shared" ref="G18:O18" si="18">SUM(G19:G34)</f>
        <v>0</v>
      </c>
      <c r="H18" s="69">
        <f t="shared" si="18"/>
        <v>0</v>
      </c>
      <c r="I18" s="69">
        <f t="shared" si="18"/>
        <v>0</v>
      </c>
      <c r="J18" s="69">
        <f t="shared" si="18"/>
        <v>0</v>
      </c>
      <c r="K18" s="69">
        <f t="shared" si="18"/>
        <v>0</v>
      </c>
      <c r="L18" s="69">
        <f t="shared" si="18"/>
        <v>0</v>
      </c>
      <c r="M18" s="69">
        <f t="shared" si="18"/>
        <v>0</v>
      </c>
      <c r="N18" s="69">
        <f t="shared" si="18"/>
        <v>0</v>
      </c>
      <c r="O18" s="69">
        <f t="shared" si="18"/>
        <v>0</v>
      </c>
      <c r="P18" s="67">
        <f t="shared" si="5"/>
        <v>1198.8800000000001</v>
      </c>
      <c r="Q18" s="69">
        <f>SUM(Q19:Q34)</f>
        <v>1198.8800000000001</v>
      </c>
      <c r="R18" s="69">
        <f t="shared" ref="R18:Z18" si="19">SUM(R19:R34)</f>
        <v>0</v>
      </c>
      <c r="S18" s="69">
        <f t="shared" si="19"/>
        <v>0</v>
      </c>
      <c r="T18" s="69">
        <f t="shared" si="19"/>
        <v>0</v>
      </c>
      <c r="U18" s="69">
        <f t="shared" si="19"/>
        <v>0</v>
      </c>
      <c r="V18" s="69">
        <f t="shared" si="19"/>
        <v>0</v>
      </c>
      <c r="W18" s="69">
        <f t="shared" si="19"/>
        <v>0</v>
      </c>
      <c r="X18" s="69">
        <f t="shared" si="19"/>
        <v>0</v>
      </c>
      <c r="Y18" s="69">
        <f t="shared" si="19"/>
        <v>0</v>
      </c>
      <c r="Z18" s="69">
        <f t="shared" si="19"/>
        <v>0</v>
      </c>
      <c r="AA18" s="67">
        <f t="shared" si="7"/>
        <v>1198.8800000000001</v>
      </c>
      <c r="AB18" s="69">
        <f>SUM(AB19:AB34)</f>
        <v>1198.8800000000001</v>
      </c>
      <c r="AC18" s="69">
        <f t="shared" ref="AC18:AK18" si="20">SUM(AC19:AC34)</f>
        <v>0</v>
      </c>
      <c r="AD18" s="69">
        <f t="shared" si="20"/>
        <v>0</v>
      </c>
      <c r="AE18" s="69">
        <f t="shared" si="20"/>
        <v>0</v>
      </c>
      <c r="AF18" s="69">
        <f t="shared" si="20"/>
        <v>0</v>
      </c>
      <c r="AG18" s="69">
        <f t="shared" si="20"/>
        <v>0</v>
      </c>
      <c r="AH18" s="69">
        <f t="shared" si="20"/>
        <v>0</v>
      </c>
      <c r="AI18" s="69">
        <f t="shared" si="20"/>
        <v>0</v>
      </c>
      <c r="AJ18" s="69">
        <f t="shared" si="20"/>
        <v>0</v>
      </c>
      <c r="AK18" s="69">
        <f t="shared" si="20"/>
        <v>0</v>
      </c>
      <c r="AM18" s="193"/>
      <c r="AO18" s="193"/>
    </row>
    <row r="19" spans="1:41" ht="20.25">
      <c r="A19" s="33" t="s">
        <v>134</v>
      </c>
      <c r="B19" s="73"/>
      <c r="C19" s="73"/>
      <c r="D19" s="249"/>
      <c r="E19" s="67">
        <f t="shared" si="3"/>
        <v>175.2</v>
      </c>
      <c r="F19" s="57">
        <v>175.2</v>
      </c>
      <c r="G19" s="57"/>
      <c r="H19" s="57"/>
      <c r="I19" s="57"/>
      <c r="J19" s="57"/>
      <c r="K19" s="57"/>
      <c r="L19" s="57"/>
      <c r="M19" s="57"/>
      <c r="N19" s="57"/>
      <c r="O19" s="57"/>
      <c r="P19" s="67">
        <f t="shared" si="5"/>
        <v>175.19999999999996</v>
      </c>
      <c r="Q19" s="57">
        <f>4.15+7.5+13.93+6.4+8.6+5.54+14.4+0.53+4.5+3.48+2.4+2.1+4.73+7.27+7.36+2.8+3.8+2.32+2.7+3.6+10.29+11.6+7.1+13.1+25</f>
        <v>175.19999999999996</v>
      </c>
      <c r="R19" s="57"/>
      <c r="S19" s="57"/>
      <c r="T19" s="57"/>
      <c r="U19" s="57"/>
      <c r="V19" s="57"/>
      <c r="W19" s="57"/>
      <c r="X19" s="57"/>
      <c r="Y19" s="57"/>
      <c r="Z19" s="57"/>
      <c r="AA19" s="67">
        <f t="shared" si="7"/>
        <v>175.2</v>
      </c>
      <c r="AB19" s="57">
        <f>150.2+25</f>
        <v>175.2</v>
      </c>
      <c r="AC19" s="57"/>
      <c r="AD19" s="57"/>
      <c r="AE19" s="57"/>
      <c r="AF19" s="57"/>
      <c r="AG19" s="57"/>
      <c r="AH19" s="57"/>
      <c r="AI19" s="57"/>
      <c r="AJ19" s="57"/>
      <c r="AK19" s="57"/>
      <c r="AL19" s="190"/>
    </row>
    <row r="20" spans="1:41" ht="20.25">
      <c r="A20" s="33" t="s">
        <v>147</v>
      </c>
      <c r="B20" s="73"/>
      <c r="C20" s="73"/>
      <c r="D20" s="249"/>
      <c r="E20" s="67">
        <f t="shared" si="3"/>
        <v>278.16000000000003</v>
      </c>
      <c r="F20" s="57">
        <v>278.16000000000003</v>
      </c>
      <c r="G20" s="57"/>
      <c r="H20" s="57"/>
      <c r="I20" s="57"/>
      <c r="J20" s="57"/>
      <c r="K20" s="57"/>
      <c r="L20" s="57"/>
      <c r="M20" s="57"/>
      <c r="N20" s="57"/>
      <c r="O20" s="57"/>
      <c r="P20" s="67">
        <f t="shared" si="5"/>
        <v>278.16000000000003</v>
      </c>
      <c r="Q20" s="57">
        <f>11.3+37.74+35.88+29.92+30.87+30.8+14.9+21.3+22.18+43.27</f>
        <v>278.16000000000003</v>
      </c>
      <c r="R20" s="57"/>
      <c r="S20" s="57"/>
      <c r="T20" s="57"/>
      <c r="U20" s="57"/>
      <c r="V20" s="57"/>
      <c r="W20" s="57"/>
      <c r="X20" s="57"/>
      <c r="Y20" s="57"/>
      <c r="Z20" s="57"/>
      <c r="AA20" s="67">
        <f t="shared" si="7"/>
        <v>278.16000000000003</v>
      </c>
      <c r="AB20" s="57">
        <v>278.16000000000003</v>
      </c>
      <c r="AC20" s="57"/>
      <c r="AD20" s="57"/>
      <c r="AE20" s="57"/>
      <c r="AF20" s="57"/>
      <c r="AG20" s="57"/>
      <c r="AH20" s="57"/>
      <c r="AI20" s="57"/>
      <c r="AJ20" s="57"/>
      <c r="AK20" s="57"/>
      <c r="AL20" s="190"/>
      <c r="AO20" s="190"/>
    </row>
    <row r="21" spans="1:41" ht="20.25" hidden="1">
      <c r="A21" s="33" t="s">
        <v>27</v>
      </c>
      <c r="B21" s="73"/>
      <c r="C21" s="73"/>
      <c r="D21" s="249"/>
      <c r="E21" s="67">
        <f t="shared" si="3"/>
        <v>0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67">
        <f t="shared" si="5"/>
        <v>0</v>
      </c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67">
        <f t="shared" si="7"/>
        <v>0</v>
      </c>
      <c r="AB21" s="57"/>
      <c r="AC21" s="57"/>
      <c r="AD21" s="57"/>
      <c r="AE21" s="57"/>
      <c r="AF21" s="57"/>
      <c r="AG21" s="57"/>
      <c r="AH21" s="57"/>
      <c r="AI21" s="57"/>
      <c r="AJ21" s="57"/>
      <c r="AK21" s="57"/>
    </row>
    <row r="22" spans="1:41" ht="20.25" hidden="1">
      <c r="A22" s="33" t="s">
        <v>28</v>
      </c>
      <c r="B22" s="73"/>
      <c r="C22" s="73"/>
      <c r="D22" s="249"/>
      <c r="E22" s="67">
        <f t="shared" si="3"/>
        <v>0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67">
        <f t="shared" si="5"/>
        <v>0</v>
      </c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67">
        <f t="shared" si="7"/>
        <v>0</v>
      </c>
      <c r="AB22" s="57"/>
      <c r="AC22" s="57"/>
      <c r="AD22" s="57"/>
      <c r="AE22" s="57"/>
      <c r="AF22" s="57"/>
      <c r="AG22" s="57"/>
      <c r="AH22" s="57"/>
      <c r="AI22" s="57"/>
      <c r="AJ22" s="57"/>
      <c r="AK22" s="57"/>
    </row>
    <row r="23" spans="1:41" ht="20.25" hidden="1">
      <c r="A23" s="33"/>
      <c r="B23" s="73"/>
      <c r="C23" s="73"/>
      <c r="D23" s="249"/>
      <c r="E23" s="67">
        <f t="shared" si="3"/>
        <v>0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67">
        <f t="shared" si="5"/>
        <v>0</v>
      </c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67">
        <f t="shared" si="7"/>
        <v>0</v>
      </c>
      <c r="AB23" s="57"/>
      <c r="AC23" s="57"/>
      <c r="AD23" s="57"/>
      <c r="AE23" s="57"/>
      <c r="AF23" s="57"/>
      <c r="AG23" s="57"/>
      <c r="AH23" s="57"/>
      <c r="AI23" s="57"/>
      <c r="AJ23" s="57"/>
      <c r="AK23" s="57"/>
    </row>
    <row r="24" spans="1:41" ht="20.25">
      <c r="A24" s="33" t="s">
        <v>29</v>
      </c>
      <c r="B24" s="73"/>
      <c r="C24" s="73"/>
      <c r="D24" s="249"/>
      <c r="E24" s="67">
        <f t="shared" si="3"/>
        <v>598.79</v>
      </c>
      <c r="F24" s="57">
        <f>425.7+49.8+60+30+40-14.76-34.75+42.8</f>
        <v>598.79</v>
      </c>
      <c r="G24" s="57"/>
      <c r="H24" s="57"/>
      <c r="I24" s="57"/>
      <c r="J24" s="57"/>
      <c r="K24" s="57"/>
      <c r="L24" s="57"/>
      <c r="M24" s="57"/>
      <c r="N24" s="57"/>
      <c r="O24" s="57"/>
      <c r="P24" s="67">
        <f t="shared" si="5"/>
        <v>598.79</v>
      </c>
      <c r="Q24" s="57">
        <f>98.3+71.27+98.6+29.6+40.6+74.9+185.52</f>
        <v>598.79</v>
      </c>
      <c r="R24" s="57"/>
      <c r="S24" s="57"/>
      <c r="T24" s="57"/>
      <c r="U24" s="57"/>
      <c r="V24" s="57"/>
      <c r="W24" s="57"/>
      <c r="X24" s="57"/>
      <c r="Y24" s="57"/>
      <c r="Z24" s="57"/>
      <c r="AA24" s="67">
        <f t="shared" si="7"/>
        <v>598.79</v>
      </c>
      <c r="AB24" s="57">
        <v>598.79</v>
      </c>
      <c r="AC24" s="57"/>
      <c r="AD24" s="57"/>
      <c r="AE24" s="57"/>
      <c r="AF24" s="57"/>
      <c r="AG24" s="57"/>
      <c r="AH24" s="57"/>
      <c r="AI24" s="57"/>
      <c r="AJ24" s="57"/>
      <c r="AK24" s="57"/>
      <c r="AO24" s="190"/>
    </row>
    <row r="25" spans="1:41" ht="20.25" hidden="1">
      <c r="A25" s="33" t="s">
        <v>30</v>
      </c>
      <c r="B25" s="73"/>
      <c r="C25" s="73"/>
      <c r="D25" s="249"/>
      <c r="E25" s="67">
        <f t="shared" si="3"/>
        <v>0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67">
        <f t="shared" si="5"/>
        <v>0</v>
      </c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67">
        <f t="shared" si="7"/>
        <v>0</v>
      </c>
      <c r="AB25" s="57"/>
      <c r="AC25" s="57"/>
      <c r="AD25" s="57"/>
      <c r="AE25" s="57"/>
      <c r="AF25" s="57"/>
      <c r="AG25" s="57"/>
      <c r="AH25" s="57"/>
      <c r="AI25" s="57"/>
      <c r="AJ25" s="57"/>
      <c r="AK25" s="57"/>
    </row>
    <row r="26" spans="1:41" ht="20.25" hidden="1">
      <c r="A26" s="33" t="s">
        <v>31</v>
      </c>
      <c r="B26" s="73"/>
      <c r="C26" s="73"/>
      <c r="D26" s="249"/>
      <c r="E26" s="67">
        <f t="shared" si="3"/>
        <v>0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67">
        <f t="shared" si="5"/>
        <v>0</v>
      </c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67">
        <f t="shared" si="7"/>
        <v>0</v>
      </c>
      <c r="AB26" s="57"/>
      <c r="AC26" s="57"/>
      <c r="AD26" s="57"/>
      <c r="AE26" s="57"/>
      <c r="AF26" s="57"/>
      <c r="AG26" s="57"/>
      <c r="AH26" s="57"/>
      <c r="AI26" s="57"/>
      <c r="AJ26" s="57"/>
      <c r="AK26" s="57"/>
    </row>
    <row r="27" spans="1:41" ht="20.25">
      <c r="A27" s="33" t="s">
        <v>33</v>
      </c>
      <c r="B27" s="73"/>
      <c r="C27" s="73"/>
      <c r="D27" s="249"/>
      <c r="E27" s="67">
        <f t="shared" si="3"/>
        <v>58.879999999999995</v>
      </c>
      <c r="F27" s="57">
        <f>56.6+11.2-8.92</f>
        <v>58.879999999999995</v>
      </c>
      <c r="G27" s="57"/>
      <c r="H27" s="57"/>
      <c r="I27" s="57"/>
      <c r="J27" s="57"/>
      <c r="K27" s="57"/>
      <c r="L27" s="57"/>
      <c r="M27" s="57"/>
      <c r="N27" s="57"/>
      <c r="O27" s="57"/>
      <c r="P27" s="67">
        <f t="shared" si="5"/>
        <v>58.88000000000001</v>
      </c>
      <c r="Q27" s="57">
        <f>12.8+12.18+14+4.2+5.7+8.8+1.2</f>
        <v>58.88000000000001</v>
      </c>
      <c r="R27" s="57"/>
      <c r="S27" s="57"/>
      <c r="T27" s="57"/>
      <c r="U27" s="57"/>
      <c r="V27" s="57"/>
      <c r="W27" s="57"/>
      <c r="X27" s="57"/>
      <c r="Y27" s="57"/>
      <c r="Z27" s="57"/>
      <c r="AA27" s="67">
        <f t="shared" si="7"/>
        <v>58.88000000000001</v>
      </c>
      <c r="AB27" s="57">
        <f>12.8+12.18+14+4.2+5.7+8.8+1.2</f>
        <v>58.88000000000001</v>
      </c>
      <c r="AC27" s="57"/>
      <c r="AD27" s="57"/>
      <c r="AE27" s="57"/>
      <c r="AF27" s="57"/>
      <c r="AG27" s="57"/>
      <c r="AH27" s="57"/>
      <c r="AI27" s="57"/>
      <c r="AJ27" s="57"/>
      <c r="AK27" s="57"/>
    </row>
    <row r="28" spans="1:41" ht="20.25" hidden="1">
      <c r="A28" s="33" t="s">
        <v>34</v>
      </c>
      <c r="B28" s="73"/>
      <c r="C28" s="73"/>
      <c r="D28" s="249"/>
      <c r="E28" s="67">
        <f t="shared" si="3"/>
        <v>0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67">
        <f>Q28+R28+S28+T28+U28+V28+W28+X28+Y28+Z28</f>
        <v>0</v>
      </c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67">
        <f>AB28+AC28+AD28+AE28+AF28+AG28+AH28+AI28+AJ28+AK28</f>
        <v>0</v>
      </c>
      <c r="AB28" s="57"/>
      <c r="AC28" s="57"/>
      <c r="AD28" s="57"/>
      <c r="AE28" s="57"/>
      <c r="AF28" s="57"/>
      <c r="AG28" s="57"/>
      <c r="AH28" s="57"/>
      <c r="AI28" s="57"/>
      <c r="AJ28" s="57"/>
      <c r="AK28" s="57"/>
    </row>
    <row r="29" spans="1:41" ht="20.25" hidden="1">
      <c r="A29" s="34" t="s">
        <v>35</v>
      </c>
      <c r="B29" s="73"/>
      <c r="C29" s="73"/>
      <c r="D29" s="249"/>
      <c r="E29" s="67">
        <f t="shared" si="3"/>
        <v>0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67">
        <f t="shared" si="5"/>
        <v>0</v>
      </c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67">
        <f t="shared" ref="AA29:AA92" si="21">AB29+AC29+AD29+AE29+AF29+AG29+AH29+AI29+AJ29+AK29</f>
        <v>0</v>
      </c>
      <c r="AB29" s="57"/>
      <c r="AC29" s="57"/>
      <c r="AD29" s="57"/>
      <c r="AE29" s="57"/>
      <c r="AF29" s="57"/>
      <c r="AG29" s="57"/>
      <c r="AH29" s="57"/>
      <c r="AI29" s="57"/>
      <c r="AJ29" s="57"/>
      <c r="AK29" s="57"/>
    </row>
    <row r="30" spans="1:41" ht="20.25">
      <c r="A30" s="33" t="s">
        <v>135</v>
      </c>
      <c r="B30" s="73"/>
      <c r="C30" s="73"/>
      <c r="D30" s="249"/>
      <c r="E30" s="67">
        <f t="shared" si="3"/>
        <v>12.675000000000001</v>
      </c>
      <c r="F30" s="57">
        <v>12.675000000000001</v>
      </c>
      <c r="G30" s="57"/>
      <c r="H30" s="57"/>
      <c r="I30" s="57"/>
      <c r="J30" s="57"/>
      <c r="K30" s="57"/>
      <c r="L30" s="57"/>
      <c r="M30" s="57"/>
      <c r="N30" s="57"/>
      <c r="O30" s="57"/>
      <c r="P30" s="67">
        <f t="shared" si="5"/>
        <v>12.674999999999999</v>
      </c>
      <c r="Q30" s="57">
        <f>11.61+1.065</f>
        <v>12.674999999999999</v>
      </c>
      <c r="R30" s="57"/>
      <c r="S30" s="57"/>
      <c r="T30" s="57"/>
      <c r="U30" s="57"/>
      <c r="V30" s="57"/>
      <c r="W30" s="57"/>
      <c r="X30" s="57"/>
      <c r="Y30" s="57"/>
      <c r="Z30" s="57"/>
      <c r="AA30" s="67">
        <f t="shared" si="21"/>
        <v>12.675000000000001</v>
      </c>
      <c r="AB30" s="57">
        <v>12.675000000000001</v>
      </c>
      <c r="AC30" s="57"/>
      <c r="AD30" s="57"/>
      <c r="AE30" s="57"/>
      <c r="AF30" s="57"/>
      <c r="AG30" s="57"/>
      <c r="AH30" s="57"/>
      <c r="AI30" s="57"/>
      <c r="AJ30" s="57"/>
      <c r="AK30" s="57"/>
      <c r="AM30" s="54" t="s">
        <v>179</v>
      </c>
    </row>
    <row r="31" spans="1:41" ht="20.25">
      <c r="A31" s="33" t="s">
        <v>32</v>
      </c>
      <c r="B31" s="73"/>
      <c r="C31" s="73"/>
      <c r="D31" s="249"/>
      <c r="E31" s="67">
        <f t="shared" si="3"/>
        <v>10.675000000000001</v>
      </c>
      <c r="F31" s="57">
        <v>10.675000000000001</v>
      </c>
      <c r="G31" s="57"/>
      <c r="H31" s="57"/>
      <c r="I31" s="57"/>
      <c r="J31" s="57"/>
      <c r="K31" s="57"/>
      <c r="L31" s="57"/>
      <c r="M31" s="57"/>
      <c r="N31" s="57"/>
      <c r="O31" s="57"/>
      <c r="P31" s="67">
        <f t="shared" si="5"/>
        <v>10.674999999999999</v>
      </c>
      <c r="Q31" s="57">
        <f>9.61+1.065</f>
        <v>10.674999999999999</v>
      </c>
      <c r="R31" s="57"/>
      <c r="S31" s="57"/>
      <c r="T31" s="57"/>
      <c r="U31" s="57"/>
      <c r="V31" s="57"/>
      <c r="W31" s="57"/>
      <c r="X31" s="57"/>
      <c r="Y31" s="57"/>
      <c r="Z31" s="57"/>
      <c r="AA31" s="67">
        <f t="shared" si="21"/>
        <v>10.675000000000001</v>
      </c>
      <c r="AB31" s="57">
        <v>10.675000000000001</v>
      </c>
      <c r="AC31" s="57"/>
      <c r="AD31" s="57"/>
      <c r="AE31" s="57"/>
      <c r="AF31" s="57"/>
      <c r="AG31" s="57"/>
      <c r="AH31" s="57"/>
      <c r="AI31" s="57"/>
      <c r="AJ31" s="57"/>
      <c r="AK31" s="57"/>
    </row>
    <row r="32" spans="1:41" s="179" customFormat="1" ht="20.25">
      <c r="A32" s="180" t="s">
        <v>39</v>
      </c>
      <c r="B32" s="176"/>
      <c r="C32" s="176"/>
      <c r="D32" s="249"/>
      <c r="E32" s="177">
        <f t="shared" si="3"/>
        <v>64.5</v>
      </c>
      <c r="F32" s="178">
        <v>64.5</v>
      </c>
      <c r="G32" s="178"/>
      <c r="H32" s="178"/>
      <c r="I32" s="178"/>
      <c r="J32" s="178"/>
      <c r="K32" s="178"/>
      <c r="L32" s="178"/>
      <c r="M32" s="178"/>
      <c r="N32" s="178"/>
      <c r="O32" s="178"/>
      <c r="P32" s="177">
        <f t="shared" si="5"/>
        <v>64.5</v>
      </c>
      <c r="Q32" s="178">
        <f>5.5+5.5+5.5+5.5+5.5+5.5+5.5+5.5+5.5+5.5+5.5+4</f>
        <v>64.5</v>
      </c>
      <c r="R32" s="178"/>
      <c r="S32" s="178"/>
      <c r="T32" s="178"/>
      <c r="U32" s="178"/>
      <c r="V32" s="178"/>
      <c r="W32" s="178"/>
      <c r="X32" s="178"/>
      <c r="Y32" s="178"/>
      <c r="Z32" s="178"/>
      <c r="AA32" s="177">
        <f t="shared" si="21"/>
        <v>64.5</v>
      </c>
      <c r="AB32" s="178">
        <f>44+5.5+5.5+5.5+4</f>
        <v>64.5</v>
      </c>
      <c r="AC32" s="178"/>
      <c r="AD32" s="178"/>
      <c r="AE32" s="178"/>
      <c r="AF32" s="178"/>
      <c r="AG32" s="178"/>
      <c r="AH32" s="178"/>
      <c r="AI32" s="178"/>
      <c r="AJ32" s="178"/>
      <c r="AK32" s="178"/>
      <c r="AN32" s="199"/>
      <c r="AO32" s="199"/>
    </row>
    <row r="33" spans="1:39" ht="20.25" hidden="1">
      <c r="A33" s="34"/>
      <c r="B33" s="73"/>
      <c r="C33" s="73"/>
      <c r="D33" s="249"/>
      <c r="E33" s="67">
        <f t="shared" si="3"/>
        <v>0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67">
        <f t="shared" si="5"/>
        <v>0</v>
      </c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67">
        <f t="shared" si="21"/>
        <v>0</v>
      </c>
      <c r="AB33" s="57"/>
      <c r="AC33" s="57"/>
      <c r="AD33" s="57"/>
      <c r="AE33" s="57"/>
      <c r="AF33" s="57"/>
      <c r="AG33" s="57"/>
      <c r="AH33" s="57"/>
      <c r="AI33" s="57"/>
      <c r="AJ33" s="57"/>
      <c r="AK33" s="57"/>
    </row>
    <row r="34" spans="1:39" ht="20.25" hidden="1">
      <c r="A34" s="34"/>
      <c r="B34" s="73"/>
      <c r="C34" s="73"/>
      <c r="D34" s="250"/>
      <c r="E34" s="67">
        <f t="shared" si="3"/>
        <v>0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67">
        <f t="shared" si="5"/>
        <v>0</v>
      </c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67">
        <f t="shared" si="21"/>
        <v>0</v>
      </c>
      <c r="AB34" s="57"/>
      <c r="AC34" s="57"/>
      <c r="AD34" s="57"/>
      <c r="AE34" s="57"/>
      <c r="AF34" s="57"/>
      <c r="AG34" s="57"/>
      <c r="AH34" s="57"/>
      <c r="AI34" s="57"/>
      <c r="AJ34" s="57"/>
      <c r="AK34" s="57"/>
    </row>
    <row r="35" spans="1:39" s="60" customFormat="1" ht="20.25">
      <c r="A35" s="27" t="s">
        <v>36</v>
      </c>
      <c r="B35" s="78"/>
      <c r="C35" s="71"/>
      <c r="D35" s="248">
        <v>225</v>
      </c>
      <c r="E35" s="67">
        <f t="shared" si="3"/>
        <v>211.99372</v>
      </c>
      <c r="F35" s="69">
        <f>SUM(F36:F41)+SUM(F54:F65)</f>
        <v>211.99372</v>
      </c>
      <c r="G35" s="69">
        <f t="shared" ref="G35:AK35" si="22">SUM(G36:G41)+SUM(G54:G65)</f>
        <v>0</v>
      </c>
      <c r="H35" s="69">
        <f t="shared" si="22"/>
        <v>0</v>
      </c>
      <c r="I35" s="69">
        <f t="shared" si="22"/>
        <v>0</v>
      </c>
      <c r="J35" s="69">
        <f t="shared" si="22"/>
        <v>0</v>
      </c>
      <c r="K35" s="69">
        <f t="shared" si="22"/>
        <v>0</v>
      </c>
      <c r="L35" s="69">
        <f t="shared" si="22"/>
        <v>0</v>
      </c>
      <c r="M35" s="69">
        <f t="shared" si="22"/>
        <v>0</v>
      </c>
      <c r="N35" s="69">
        <f t="shared" si="22"/>
        <v>0</v>
      </c>
      <c r="O35" s="69">
        <f t="shared" si="22"/>
        <v>0</v>
      </c>
      <c r="P35" s="67">
        <f t="shared" si="5"/>
        <v>211.99372</v>
      </c>
      <c r="Q35" s="69">
        <f t="shared" si="22"/>
        <v>211.99372</v>
      </c>
      <c r="R35" s="69">
        <f t="shared" si="22"/>
        <v>0</v>
      </c>
      <c r="S35" s="69">
        <f t="shared" si="22"/>
        <v>0</v>
      </c>
      <c r="T35" s="69">
        <f t="shared" si="22"/>
        <v>0</v>
      </c>
      <c r="U35" s="69">
        <f t="shared" si="22"/>
        <v>0</v>
      </c>
      <c r="V35" s="69">
        <f t="shared" si="22"/>
        <v>0</v>
      </c>
      <c r="W35" s="69">
        <f t="shared" si="22"/>
        <v>0</v>
      </c>
      <c r="X35" s="69">
        <f t="shared" si="22"/>
        <v>0</v>
      </c>
      <c r="Y35" s="69">
        <f t="shared" si="22"/>
        <v>0</v>
      </c>
      <c r="Z35" s="69">
        <f t="shared" si="22"/>
        <v>0</v>
      </c>
      <c r="AA35" s="67">
        <f t="shared" si="21"/>
        <v>211.99372</v>
      </c>
      <c r="AB35" s="69">
        <f t="shared" si="22"/>
        <v>211.99372</v>
      </c>
      <c r="AC35" s="69">
        <f t="shared" si="22"/>
        <v>0</v>
      </c>
      <c r="AD35" s="69">
        <f t="shared" si="22"/>
        <v>0</v>
      </c>
      <c r="AE35" s="69">
        <f t="shared" si="22"/>
        <v>0</v>
      </c>
      <c r="AF35" s="69">
        <f t="shared" si="22"/>
        <v>0</v>
      </c>
      <c r="AG35" s="69">
        <f t="shared" si="22"/>
        <v>0</v>
      </c>
      <c r="AH35" s="69">
        <f t="shared" si="22"/>
        <v>0</v>
      </c>
      <c r="AI35" s="69">
        <f t="shared" si="22"/>
        <v>0</v>
      </c>
      <c r="AJ35" s="69">
        <f t="shared" si="22"/>
        <v>0</v>
      </c>
      <c r="AK35" s="69">
        <f t="shared" si="22"/>
        <v>0</v>
      </c>
      <c r="AL35" s="193"/>
      <c r="AM35" s="193"/>
    </row>
    <row r="36" spans="1:39" ht="20.25">
      <c r="A36" s="35" t="s">
        <v>37</v>
      </c>
      <c r="B36" s="79"/>
      <c r="C36" s="73"/>
      <c r="D36" s="249"/>
      <c r="E36" s="67">
        <f t="shared" si="3"/>
        <v>0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67">
        <f t="shared" si="5"/>
        <v>0</v>
      </c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67">
        <f t="shared" si="21"/>
        <v>0</v>
      </c>
      <c r="AB36" s="57"/>
      <c r="AC36" s="57"/>
      <c r="AD36" s="57"/>
      <c r="AE36" s="57"/>
      <c r="AF36" s="57"/>
      <c r="AG36" s="57"/>
      <c r="AH36" s="57"/>
      <c r="AI36" s="57"/>
      <c r="AJ36" s="57"/>
      <c r="AK36" s="57"/>
    </row>
    <row r="37" spans="1:39" ht="20.25">
      <c r="A37" s="36" t="s">
        <v>38</v>
      </c>
      <c r="B37" s="80"/>
      <c r="C37" s="73"/>
      <c r="D37" s="249"/>
      <c r="E37" s="67">
        <f t="shared" si="3"/>
        <v>0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67">
        <f t="shared" si="5"/>
        <v>0</v>
      </c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67">
        <f t="shared" si="21"/>
        <v>0</v>
      </c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M37" s="190"/>
    </row>
    <row r="38" spans="1:39" s="179" customFormat="1" ht="20.25" hidden="1">
      <c r="A38" s="174"/>
      <c r="B38" s="175"/>
      <c r="C38" s="176"/>
      <c r="D38" s="249"/>
      <c r="E38" s="177">
        <f t="shared" si="3"/>
        <v>0</v>
      </c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7">
        <f t="shared" si="5"/>
        <v>0</v>
      </c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7">
        <f t="shared" si="21"/>
        <v>0</v>
      </c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</row>
    <row r="39" spans="1:39" ht="20.25">
      <c r="A39" s="36" t="s">
        <v>40</v>
      </c>
      <c r="B39" s="80"/>
      <c r="C39" s="73"/>
      <c r="D39" s="249"/>
      <c r="E39" s="67">
        <f t="shared" si="3"/>
        <v>0</v>
      </c>
      <c r="F39" s="57">
        <v>0</v>
      </c>
      <c r="G39" s="57"/>
      <c r="H39" s="57"/>
      <c r="I39" s="57"/>
      <c r="J39" s="57"/>
      <c r="K39" s="57"/>
      <c r="L39" s="57"/>
      <c r="M39" s="57"/>
      <c r="N39" s="57"/>
      <c r="O39" s="57"/>
      <c r="P39" s="67">
        <f t="shared" si="5"/>
        <v>0</v>
      </c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67">
        <f t="shared" si="21"/>
        <v>0</v>
      </c>
      <c r="AB39" s="57"/>
      <c r="AC39" s="57"/>
      <c r="AD39" s="57"/>
      <c r="AE39" s="57"/>
      <c r="AF39" s="57"/>
      <c r="AG39" s="57"/>
      <c r="AH39" s="57"/>
      <c r="AI39" s="57"/>
      <c r="AJ39" s="57"/>
      <c r="AK39" s="57"/>
    </row>
    <row r="40" spans="1:39" ht="20.25">
      <c r="A40" s="36" t="s">
        <v>41</v>
      </c>
      <c r="B40" s="80"/>
      <c r="C40" s="73"/>
      <c r="D40" s="249"/>
      <c r="E40" s="67">
        <f t="shared" si="3"/>
        <v>0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67">
        <f t="shared" si="5"/>
        <v>0</v>
      </c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67">
        <f t="shared" si="21"/>
        <v>0</v>
      </c>
      <c r="AB40" s="57"/>
      <c r="AC40" s="57"/>
      <c r="AD40" s="57"/>
      <c r="AE40" s="57"/>
      <c r="AF40" s="57"/>
      <c r="AG40" s="57"/>
      <c r="AH40" s="57"/>
      <c r="AI40" s="57"/>
      <c r="AJ40" s="57"/>
      <c r="AK40" s="57"/>
    </row>
    <row r="41" spans="1:39" s="135" customFormat="1" ht="20.25">
      <c r="A41" s="114" t="s">
        <v>42</v>
      </c>
      <c r="B41" s="114"/>
      <c r="C41" s="114"/>
      <c r="D41" s="249"/>
      <c r="E41" s="67">
        <f t="shared" si="3"/>
        <v>86.954480000000004</v>
      </c>
      <c r="F41" s="134">
        <f>SUM(F42:F53)</f>
        <v>86.954480000000004</v>
      </c>
      <c r="G41" s="134">
        <f t="shared" ref="G41:AK41" si="23">SUM(G42:G53)</f>
        <v>0</v>
      </c>
      <c r="H41" s="134">
        <f t="shared" si="23"/>
        <v>0</v>
      </c>
      <c r="I41" s="134">
        <f t="shared" si="23"/>
        <v>0</v>
      </c>
      <c r="J41" s="134">
        <f t="shared" si="23"/>
        <v>0</v>
      </c>
      <c r="K41" s="134">
        <f t="shared" si="23"/>
        <v>0</v>
      </c>
      <c r="L41" s="134">
        <f t="shared" si="23"/>
        <v>0</v>
      </c>
      <c r="M41" s="134">
        <f t="shared" si="23"/>
        <v>0</v>
      </c>
      <c r="N41" s="134">
        <f t="shared" si="23"/>
        <v>0</v>
      </c>
      <c r="O41" s="134">
        <f t="shared" si="23"/>
        <v>0</v>
      </c>
      <c r="P41" s="67">
        <f t="shared" si="5"/>
        <v>86.954480000000004</v>
      </c>
      <c r="Q41" s="134">
        <f t="shared" si="23"/>
        <v>86.954480000000004</v>
      </c>
      <c r="R41" s="134">
        <f t="shared" si="23"/>
        <v>0</v>
      </c>
      <c r="S41" s="134">
        <f t="shared" si="23"/>
        <v>0</v>
      </c>
      <c r="T41" s="134">
        <f t="shared" si="23"/>
        <v>0</v>
      </c>
      <c r="U41" s="134">
        <f t="shared" si="23"/>
        <v>0</v>
      </c>
      <c r="V41" s="134">
        <f t="shared" si="23"/>
        <v>0</v>
      </c>
      <c r="W41" s="134">
        <f t="shared" si="23"/>
        <v>0</v>
      </c>
      <c r="X41" s="134">
        <f t="shared" si="23"/>
        <v>0</v>
      </c>
      <c r="Y41" s="134">
        <f t="shared" si="23"/>
        <v>0</v>
      </c>
      <c r="Z41" s="134">
        <f t="shared" si="23"/>
        <v>0</v>
      </c>
      <c r="AA41" s="67">
        <f t="shared" si="21"/>
        <v>86.954480000000004</v>
      </c>
      <c r="AB41" s="134">
        <f t="shared" si="23"/>
        <v>86.954480000000004</v>
      </c>
      <c r="AC41" s="134">
        <f t="shared" si="23"/>
        <v>0</v>
      </c>
      <c r="AD41" s="134">
        <f t="shared" si="23"/>
        <v>0</v>
      </c>
      <c r="AE41" s="134">
        <f t="shared" si="23"/>
        <v>0</v>
      </c>
      <c r="AF41" s="134">
        <f t="shared" si="23"/>
        <v>0</v>
      </c>
      <c r="AG41" s="134">
        <f t="shared" si="23"/>
        <v>0</v>
      </c>
      <c r="AH41" s="134">
        <f t="shared" si="23"/>
        <v>0</v>
      </c>
      <c r="AI41" s="134">
        <f t="shared" si="23"/>
        <v>0</v>
      </c>
      <c r="AJ41" s="134">
        <f t="shared" si="23"/>
        <v>0</v>
      </c>
      <c r="AK41" s="134">
        <f t="shared" si="23"/>
        <v>0</v>
      </c>
    </row>
    <row r="42" spans="1:39" ht="20.25">
      <c r="A42" s="126" t="s">
        <v>43</v>
      </c>
      <c r="B42" s="79"/>
      <c r="C42" s="73"/>
      <c r="D42" s="249"/>
      <c r="E42" s="67">
        <f t="shared" si="3"/>
        <v>20</v>
      </c>
      <c r="F42" s="57">
        <f>30-10</f>
        <v>20</v>
      </c>
      <c r="G42" s="57"/>
      <c r="H42" s="57"/>
      <c r="I42" s="57"/>
      <c r="J42" s="57"/>
      <c r="K42" s="57"/>
      <c r="L42" s="57"/>
      <c r="M42" s="57"/>
      <c r="N42" s="57"/>
      <c r="O42" s="57"/>
      <c r="P42" s="67">
        <f t="shared" si="5"/>
        <v>20</v>
      </c>
      <c r="Q42" s="57">
        <v>20</v>
      </c>
      <c r="R42" s="57"/>
      <c r="S42" s="57"/>
      <c r="T42" s="57"/>
      <c r="U42" s="57"/>
      <c r="V42" s="57"/>
      <c r="W42" s="57"/>
      <c r="X42" s="57"/>
      <c r="Y42" s="57"/>
      <c r="Z42" s="57"/>
      <c r="AA42" s="67">
        <f t="shared" si="21"/>
        <v>20</v>
      </c>
      <c r="AB42" s="57">
        <v>20</v>
      </c>
      <c r="AC42" s="57"/>
      <c r="AD42" s="57"/>
      <c r="AE42" s="57"/>
      <c r="AF42" s="57"/>
      <c r="AG42" s="57"/>
      <c r="AH42" s="57"/>
      <c r="AI42" s="57"/>
      <c r="AJ42" s="57"/>
      <c r="AK42" s="57"/>
    </row>
    <row r="43" spans="1:39" ht="20.25">
      <c r="A43" s="127" t="s">
        <v>44</v>
      </c>
      <c r="B43" s="79"/>
      <c r="C43" s="73"/>
      <c r="D43" s="249"/>
      <c r="E43" s="67">
        <f t="shared" si="3"/>
        <v>23.624999999999996</v>
      </c>
      <c r="F43" s="57">
        <f>50-6.715-0.0325-19.6275</f>
        <v>23.624999999999996</v>
      </c>
      <c r="G43" s="57"/>
      <c r="H43" s="57"/>
      <c r="I43" s="57"/>
      <c r="J43" s="57"/>
      <c r="K43" s="57"/>
      <c r="L43" s="57"/>
      <c r="M43" s="57"/>
      <c r="N43" s="57"/>
      <c r="O43" s="57"/>
      <c r="P43" s="67">
        <f t="shared" si="5"/>
        <v>23.625</v>
      </c>
      <c r="Q43" s="57">
        <f>19.635+3.99</f>
        <v>23.625</v>
      </c>
      <c r="R43" s="57"/>
      <c r="S43" s="57"/>
      <c r="T43" s="57"/>
      <c r="U43" s="57"/>
      <c r="V43" s="57"/>
      <c r="W43" s="57"/>
      <c r="X43" s="57"/>
      <c r="Y43" s="57"/>
      <c r="Z43" s="57"/>
      <c r="AA43" s="67">
        <f t="shared" si="21"/>
        <v>23.625</v>
      </c>
      <c r="AB43" s="57">
        <f>19.635+3.99</f>
        <v>23.625</v>
      </c>
      <c r="AC43" s="57"/>
      <c r="AD43" s="57"/>
      <c r="AE43" s="57"/>
      <c r="AF43" s="57"/>
      <c r="AG43" s="57"/>
      <c r="AH43" s="57"/>
      <c r="AI43" s="57"/>
      <c r="AJ43" s="57"/>
      <c r="AK43" s="57"/>
    </row>
    <row r="44" spans="1:39" ht="20.25">
      <c r="A44" s="128" t="s">
        <v>45</v>
      </c>
      <c r="B44" s="79"/>
      <c r="C44" s="73"/>
      <c r="D44" s="249"/>
      <c r="E44" s="67">
        <f t="shared" si="3"/>
        <v>0</v>
      </c>
      <c r="F44" s="57">
        <f>80-14.9675-65.0325</f>
        <v>0</v>
      </c>
      <c r="G44" s="57"/>
      <c r="H44" s="57"/>
      <c r="I44" s="57"/>
      <c r="J44" s="57"/>
      <c r="K44" s="57"/>
      <c r="L44" s="57"/>
      <c r="M44" s="57"/>
      <c r="N44" s="57"/>
      <c r="O44" s="57"/>
      <c r="P44" s="67">
        <f t="shared" si="5"/>
        <v>0</v>
      </c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67">
        <f t="shared" si="21"/>
        <v>0</v>
      </c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190"/>
    </row>
    <row r="45" spans="1:39" ht="20.25">
      <c r="A45" s="127" t="s">
        <v>46</v>
      </c>
      <c r="B45" s="79"/>
      <c r="C45" s="73"/>
      <c r="D45" s="249"/>
      <c r="E45" s="67">
        <f t="shared" si="3"/>
        <v>0</v>
      </c>
      <c r="F45" s="57">
        <f>15-15</f>
        <v>0</v>
      </c>
      <c r="G45" s="57"/>
      <c r="H45" s="57"/>
      <c r="I45" s="57"/>
      <c r="J45" s="57"/>
      <c r="K45" s="57"/>
      <c r="L45" s="57"/>
      <c r="M45" s="57"/>
      <c r="N45" s="57"/>
      <c r="O45" s="57"/>
      <c r="P45" s="67">
        <f t="shared" si="5"/>
        <v>0</v>
      </c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67">
        <f t="shared" si="21"/>
        <v>0</v>
      </c>
      <c r="AB45" s="57"/>
      <c r="AC45" s="57"/>
      <c r="AD45" s="57"/>
      <c r="AE45" s="57"/>
      <c r="AF45" s="57"/>
      <c r="AG45" s="57"/>
      <c r="AH45" s="57"/>
      <c r="AI45" s="57"/>
      <c r="AJ45" s="57"/>
      <c r="AK45" s="57"/>
    </row>
    <row r="46" spans="1:39" ht="20.25">
      <c r="A46" s="126" t="s">
        <v>47</v>
      </c>
      <c r="B46" s="79"/>
      <c r="C46" s="73"/>
      <c r="D46" s="249"/>
      <c r="E46" s="67">
        <f t="shared" si="3"/>
        <v>0</v>
      </c>
      <c r="F46" s="57">
        <f>25-25</f>
        <v>0</v>
      </c>
      <c r="G46" s="57"/>
      <c r="H46" s="57"/>
      <c r="I46" s="57"/>
      <c r="J46" s="57"/>
      <c r="K46" s="57"/>
      <c r="L46" s="57"/>
      <c r="M46" s="57"/>
      <c r="N46" s="57"/>
      <c r="O46" s="57"/>
      <c r="P46" s="67">
        <f t="shared" si="5"/>
        <v>0</v>
      </c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67">
        <f t="shared" si="21"/>
        <v>0</v>
      </c>
      <c r="AB46" s="57"/>
      <c r="AC46" s="57"/>
      <c r="AD46" s="57"/>
      <c r="AE46" s="57"/>
      <c r="AF46" s="57"/>
      <c r="AG46" s="57"/>
      <c r="AH46" s="57"/>
      <c r="AI46" s="57"/>
      <c r="AJ46" s="57"/>
      <c r="AK46" s="57"/>
    </row>
    <row r="47" spans="1:39" ht="20.25" hidden="1">
      <c r="A47" s="126"/>
      <c r="B47" s="79"/>
      <c r="C47" s="73"/>
      <c r="D47" s="249"/>
      <c r="E47" s="67">
        <f t="shared" si="3"/>
        <v>0</v>
      </c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67">
        <f t="shared" si="5"/>
        <v>0</v>
      </c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67">
        <f t="shared" si="21"/>
        <v>0</v>
      </c>
      <c r="AB47" s="57"/>
      <c r="AC47" s="57"/>
      <c r="AD47" s="57"/>
      <c r="AE47" s="57"/>
      <c r="AF47" s="57"/>
      <c r="AG47" s="57"/>
      <c r="AH47" s="57"/>
      <c r="AI47" s="57"/>
      <c r="AJ47" s="57"/>
      <c r="AK47" s="57"/>
    </row>
    <row r="48" spans="1:39" ht="20.25" hidden="1">
      <c r="A48" s="129"/>
      <c r="B48" s="79"/>
      <c r="C48" s="73"/>
      <c r="D48" s="249"/>
      <c r="E48" s="67">
        <f t="shared" si="3"/>
        <v>0</v>
      </c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67">
        <f t="shared" si="5"/>
        <v>0</v>
      </c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67">
        <f t="shared" si="21"/>
        <v>0</v>
      </c>
      <c r="AB48" s="57"/>
      <c r="AC48" s="57"/>
      <c r="AD48" s="57"/>
      <c r="AE48" s="57"/>
      <c r="AF48" s="57"/>
      <c r="AG48" s="57"/>
      <c r="AH48" s="57"/>
      <c r="AI48" s="57"/>
      <c r="AJ48" s="57"/>
      <c r="AK48" s="57"/>
    </row>
    <row r="49" spans="1:39" ht="20.25">
      <c r="A49" s="126" t="s">
        <v>48</v>
      </c>
      <c r="B49" s="79"/>
      <c r="C49" s="73"/>
      <c r="D49" s="249"/>
      <c r="E49" s="67">
        <f t="shared" si="3"/>
        <v>25.2</v>
      </c>
      <c r="F49" s="57">
        <f>25+2.4-2.2</f>
        <v>25.2</v>
      </c>
      <c r="G49" s="57"/>
      <c r="H49" s="57"/>
      <c r="I49" s="57"/>
      <c r="J49" s="57"/>
      <c r="K49" s="57"/>
      <c r="L49" s="57"/>
      <c r="M49" s="57"/>
      <c r="N49" s="57"/>
      <c r="O49" s="57"/>
      <c r="P49" s="67">
        <f t="shared" si="5"/>
        <v>25.200000000000006</v>
      </c>
      <c r="Q49" s="57">
        <f>1.1+1+1+1.1+1.1+1+1.1+1+1+1.1+2.1+2+2.2+2.1+2.1+2.1+2.1</f>
        <v>25.200000000000006</v>
      </c>
      <c r="R49" s="57"/>
      <c r="S49" s="57"/>
      <c r="T49" s="57"/>
      <c r="U49" s="57"/>
      <c r="V49" s="57"/>
      <c r="W49" s="57"/>
      <c r="X49" s="57"/>
      <c r="Y49" s="57"/>
      <c r="Z49" s="57"/>
      <c r="AA49" s="67">
        <f t="shared" si="21"/>
        <v>25.2</v>
      </c>
      <c r="AB49" s="57">
        <v>25.2</v>
      </c>
      <c r="AC49" s="57"/>
      <c r="AD49" s="57"/>
      <c r="AE49" s="57"/>
      <c r="AF49" s="57"/>
      <c r="AG49" s="57"/>
      <c r="AH49" s="57"/>
      <c r="AI49" s="57"/>
      <c r="AJ49" s="57"/>
      <c r="AK49" s="57"/>
    </row>
    <row r="50" spans="1:39" ht="20.25" hidden="1">
      <c r="A50" s="126"/>
      <c r="B50" s="79"/>
      <c r="C50" s="73"/>
      <c r="D50" s="249"/>
      <c r="E50" s="67">
        <f t="shared" si="3"/>
        <v>0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67">
        <f t="shared" si="5"/>
        <v>0</v>
      </c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67">
        <f t="shared" si="21"/>
        <v>0</v>
      </c>
      <c r="AB50" s="57"/>
      <c r="AC50" s="57"/>
      <c r="AD50" s="57"/>
      <c r="AE50" s="57"/>
      <c r="AF50" s="57"/>
      <c r="AG50" s="57"/>
      <c r="AH50" s="57"/>
      <c r="AI50" s="57"/>
      <c r="AJ50" s="57"/>
      <c r="AK50" s="57"/>
    </row>
    <row r="51" spans="1:39" ht="20.25">
      <c r="A51" s="126" t="s">
        <v>49</v>
      </c>
      <c r="B51" s="79"/>
      <c r="C51" s="73"/>
      <c r="D51" s="249"/>
      <c r="E51" s="67">
        <f t="shared" si="3"/>
        <v>0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67">
        <f t="shared" si="5"/>
        <v>0</v>
      </c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67">
        <f t="shared" si="21"/>
        <v>0</v>
      </c>
      <c r="AB51" s="57"/>
      <c r="AC51" s="57"/>
      <c r="AD51" s="57"/>
      <c r="AE51" s="57"/>
      <c r="AF51" s="57"/>
      <c r="AG51" s="57"/>
      <c r="AH51" s="57"/>
      <c r="AI51" s="57"/>
      <c r="AJ51" s="57"/>
      <c r="AK51" s="57"/>
    </row>
    <row r="52" spans="1:39" ht="20.25">
      <c r="A52" s="126" t="s">
        <v>50</v>
      </c>
      <c r="B52" s="79"/>
      <c r="C52" s="73"/>
      <c r="D52" s="249"/>
      <c r="E52" s="67">
        <f t="shared" si="3"/>
        <v>6.0424800000000003</v>
      </c>
      <c r="F52" s="57">
        <f>6+0.54602-0.50354</f>
        <v>6.0424800000000003</v>
      </c>
      <c r="G52" s="57"/>
      <c r="H52" s="57"/>
      <c r="I52" s="57"/>
      <c r="J52" s="57"/>
      <c r="K52" s="57"/>
      <c r="L52" s="57"/>
      <c r="M52" s="57"/>
      <c r="N52" s="57"/>
      <c r="O52" s="57"/>
      <c r="P52" s="67">
        <f t="shared" si="5"/>
        <v>6.0424800000000003</v>
      </c>
      <c r="Q52" s="57">
        <f>0.50354+0.50354+0.50354+0.50354+0.50354+0.50354+1.00708+0.50354+0.50354+0.50354+0.50354</f>
        <v>6.0424800000000003</v>
      </c>
      <c r="R52" s="57"/>
      <c r="S52" s="57"/>
      <c r="T52" s="57"/>
      <c r="U52" s="57"/>
      <c r="V52" s="57"/>
      <c r="W52" s="57"/>
      <c r="X52" s="57"/>
      <c r="Y52" s="57"/>
      <c r="Z52" s="57"/>
      <c r="AA52" s="67">
        <f t="shared" si="21"/>
        <v>6.0424800000000003</v>
      </c>
      <c r="AB52" s="57">
        <v>6.0424800000000003</v>
      </c>
      <c r="AC52" s="57"/>
      <c r="AD52" s="57"/>
      <c r="AE52" s="57"/>
      <c r="AF52" s="57"/>
      <c r="AG52" s="57"/>
      <c r="AH52" s="57"/>
      <c r="AI52" s="57"/>
      <c r="AJ52" s="57"/>
      <c r="AK52" s="57"/>
    </row>
    <row r="53" spans="1:39" ht="20.25">
      <c r="A53" s="37" t="s">
        <v>155</v>
      </c>
      <c r="B53" s="79"/>
      <c r="C53" s="73"/>
      <c r="D53" s="249"/>
      <c r="E53" s="67">
        <f t="shared" si="3"/>
        <v>12.087</v>
      </c>
      <c r="F53" s="57">
        <f>6.715+15-9.628</f>
        <v>12.087</v>
      </c>
      <c r="G53" s="57"/>
      <c r="H53" s="57"/>
      <c r="I53" s="57"/>
      <c r="J53" s="57"/>
      <c r="K53" s="57"/>
      <c r="L53" s="57"/>
      <c r="M53" s="57"/>
      <c r="N53" s="57"/>
      <c r="O53" s="57"/>
      <c r="P53" s="67">
        <f t="shared" si="5"/>
        <v>12.087</v>
      </c>
      <c r="Q53" s="57">
        <f>6.715+5.372</f>
        <v>12.087</v>
      </c>
      <c r="R53" s="57"/>
      <c r="S53" s="57"/>
      <c r="T53" s="57"/>
      <c r="U53" s="57"/>
      <c r="V53" s="57"/>
      <c r="W53" s="57"/>
      <c r="X53" s="57"/>
      <c r="Y53" s="57"/>
      <c r="Z53" s="57"/>
      <c r="AA53" s="67">
        <f t="shared" si="21"/>
        <v>12.087</v>
      </c>
      <c r="AB53" s="57">
        <f>6.715+5.372</f>
        <v>12.087</v>
      </c>
      <c r="AC53" s="57"/>
      <c r="AD53" s="57"/>
      <c r="AE53" s="57"/>
      <c r="AF53" s="57"/>
      <c r="AG53" s="57"/>
      <c r="AH53" s="57"/>
      <c r="AI53" s="57"/>
      <c r="AJ53" s="57"/>
      <c r="AK53" s="57"/>
    </row>
    <row r="54" spans="1:39" ht="20.25">
      <c r="A54" s="36" t="s">
        <v>159</v>
      </c>
      <c r="B54" s="80"/>
      <c r="C54" s="73"/>
      <c r="D54" s="249"/>
      <c r="E54" s="67">
        <f t="shared" si="3"/>
        <v>12</v>
      </c>
      <c r="F54" s="57">
        <v>12</v>
      </c>
      <c r="G54" s="57"/>
      <c r="H54" s="57"/>
      <c r="I54" s="57"/>
      <c r="J54" s="57"/>
      <c r="K54" s="57"/>
      <c r="L54" s="57"/>
      <c r="M54" s="57"/>
      <c r="N54" s="57"/>
      <c r="O54" s="57"/>
      <c r="P54" s="67">
        <f t="shared" si="5"/>
        <v>12</v>
      </c>
      <c r="Q54" s="136">
        <f>3+3+1.5+1.5+1.5+1.5</f>
        <v>12</v>
      </c>
      <c r="R54" s="57"/>
      <c r="S54" s="57"/>
      <c r="T54" s="57"/>
      <c r="U54" s="57"/>
      <c r="V54" s="57"/>
      <c r="W54" s="57"/>
      <c r="X54" s="57"/>
      <c r="Y54" s="57"/>
      <c r="Z54" s="57"/>
      <c r="AA54" s="67">
        <f t="shared" si="21"/>
        <v>12</v>
      </c>
      <c r="AB54" s="57">
        <f>3+3+1.5+1.5+1.5+1.5</f>
        <v>12</v>
      </c>
      <c r="AC54" s="57"/>
      <c r="AD54" s="57"/>
      <c r="AE54" s="57"/>
      <c r="AF54" s="57"/>
      <c r="AG54" s="57"/>
      <c r="AH54" s="57"/>
      <c r="AI54" s="57"/>
      <c r="AJ54" s="57"/>
      <c r="AK54" s="57"/>
    </row>
    <row r="55" spans="1:39" ht="20.25">
      <c r="A55" s="35" t="s">
        <v>149</v>
      </c>
      <c r="B55" s="79"/>
      <c r="C55" s="73"/>
      <c r="D55" s="249"/>
      <c r="E55" s="67">
        <f t="shared" si="3"/>
        <v>5.2800000000000029</v>
      </c>
      <c r="F55" s="57">
        <f>60-51.66-3.06</f>
        <v>5.2800000000000029</v>
      </c>
      <c r="G55" s="57"/>
      <c r="H55" s="57"/>
      <c r="I55" s="57"/>
      <c r="J55" s="57"/>
      <c r="K55" s="57"/>
      <c r="L55" s="57"/>
      <c r="M55" s="57"/>
      <c r="N55" s="57"/>
      <c r="O55" s="57"/>
      <c r="P55" s="67">
        <f t="shared" si="5"/>
        <v>5.28</v>
      </c>
      <c r="Q55" s="57">
        <f>2.22+3.06</f>
        <v>5.28</v>
      </c>
      <c r="R55" s="57"/>
      <c r="S55" s="57"/>
      <c r="T55" s="57"/>
      <c r="U55" s="57"/>
      <c r="V55" s="57"/>
      <c r="W55" s="57"/>
      <c r="X55" s="57"/>
      <c r="Y55" s="57"/>
      <c r="Z55" s="57"/>
      <c r="AA55" s="67">
        <f t="shared" si="21"/>
        <v>5.28</v>
      </c>
      <c r="AB55" s="57">
        <f>2.22+3.06</f>
        <v>5.28</v>
      </c>
      <c r="AC55" s="57"/>
      <c r="AD55" s="57"/>
      <c r="AE55" s="57"/>
      <c r="AF55" s="57"/>
      <c r="AG55" s="57"/>
      <c r="AH55" s="57"/>
      <c r="AI55" s="57"/>
      <c r="AJ55" s="57"/>
      <c r="AK55" s="57"/>
      <c r="AM55" s="190"/>
    </row>
    <row r="56" spans="1:39" ht="20.25">
      <c r="A56" s="38" t="s">
        <v>160</v>
      </c>
      <c r="B56" s="81"/>
      <c r="C56" s="73"/>
      <c r="D56" s="249"/>
      <c r="E56" s="67">
        <f t="shared" si="3"/>
        <v>6.0149999999999997</v>
      </c>
      <c r="F56" s="57">
        <f>10.5-4.485+4.485-4.485</f>
        <v>6.0149999999999997</v>
      </c>
      <c r="G56" s="57"/>
      <c r="H56" s="57"/>
      <c r="I56" s="57"/>
      <c r="J56" s="57"/>
      <c r="K56" s="57"/>
      <c r="L56" s="57"/>
      <c r="M56" s="57"/>
      <c r="N56" s="57"/>
      <c r="O56" s="57"/>
      <c r="P56" s="67">
        <f t="shared" si="5"/>
        <v>6.0149999999999997</v>
      </c>
      <c r="Q56" s="57">
        <f>1.299+1.079+2.558+1.079</f>
        <v>6.0149999999999997</v>
      </c>
      <c r="R56" s="57"/>
      <c r="S56" s="57"/>
      <c r="T56" s="57"/>
      <c r="U56" s="57"/>
      <c r="V56" s="57"/>
      <c r="W56" s="57"/>
      <c r="X56" s="57"/>
      <c r="Y56" s="57"/>
      <c r="Z56" s="57"/>
      <c r="AA56" s="67">
        <f t="shared" si="21"/>
        <v>6.0149999999999997</v>
      </c>
      <c r="AB56" s="57">
        <f>1.299+1.079+2.558+1.079</f>
        <v>6.0149999999999997</v>
      </c>
      <c r="AC56" s="57"/>
      <c r="AD56" s="57"/>
      <c r="AE56" s="57"/>
      <c r="AF56" s="57"/>
      <c r="AG56" s="57"/>
      <c r="AH56" s="57"/>
      <c r="AI56" s="57"/>
      <c r="AJ56" s="57"/>
      <c r="AK56" s="57"/>
    </row>
    <row r="57" spans="1:39" ht="20.25">
      <c r="A57" s="35" t="s">
        <v>161</v>
      </c>
      <c r="B57" s="80"/>
      <c r="C57" s="73"/>
      <c r="D57" s="249"/>
      <c r="E57" s="67">
        <f t="shared" si="3"/>
        <v>0</v>
      </c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67">
        <f t="shared" si="5"/>
        <v>0</v>
      </c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67">
        <f t="shared" si="21"/>
        <v>0</v>
      </c>
      <c r="AB57" s="57"/>
      <c r="AC57" s="57"/>
      <c r="AD57" s="57"/>
      <c r="AE57" s="57"/>
      <c r="AF57" s="57"/>
      <c r="AG57" s="57"/>
      <c r="AH57" s="57"/>
      <c r="AI57" s="57"/>
      <c r="AJ57" s="57"/>
      <c r="AK57" s="57"/>
    </row>
    <row r="58" spans="1:39" ht="20.25">
      <c r="A58" s="36" t="s">
        <v>54</v>
      </c>
      <c r="B58" s="80"/>
      <c r="C58" s="73"/>
      <c r="D58" s="249"/>
      <c r="E58" s="67">
        <f t="shared" si="3"/>
        <v>0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67">
        <f t="shared" si="5"/>
        <v>0</v>
      </c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67">
        <f t="shared" si="21"/>
        <v>0</v>
      </c>
      <c r="AB58" s="57"/>
      <c r="AC58" s="57"/>
      <c r="AD58" s="57"/>
      <c r="AE58" s="57"/>
      <c r="AF58" s="57"/>
      <c r="AG58" s="57"/>
      <c r="AH58" s="57"/>
      <c r="AI58" s="57"/>
      <c r="AJ58" s="57"/>
      <c r="AK58" s="57"/>
    </row>
    <row r="59" spans="1:39" ht="20.25">
      <c r="A59" s="36" t="s">
        <v>150</v>
      </c>
      <c r="B59" s="80"/>
      <c r="C59" s="73"/>
      <c r="D59" s="249"/>
      <c r="E59" s="67">
        <f t="shared" si="3"/>
        <v>38.974219999999995</v>
      </c>
      <c r="F59" s="57">
        <f>42+13.45428-16.48006</f>
        <v>38.974219999999995</v>
      </c>
      <c r="G59" s="57"/>
      <c r="H59" s="57"/>
      <c r="I59" s="57"/>
      <c r="J59" s="57"/>
      <c r="K59" s="57"/>
      <c r="L59" s="57"/>
      <c r="M59" s="57"/>
      <c r="N59" s="57"/>
      <c r="O59" s="57"/>
      <c r="P59" s="67">
        <f t="shared" si="5"/>
        <v>38.974220000000003</v>
      </c>
      <c r="Q59" s="57">
        <f>17.53676+0.948+0.948+2.85665+0.81654+2.85665+0.948+0.81654+1.896+1.63308+5.7133+2.0047</f>
        <v>38.974220000000003</v>
      </c>
      <c r="R59" s="57"/>
      <c r="S59" s="57"/>
      <c r="T59" s="57"/>
      <c r="U59" s="57"/>
      <c r="V59" s="57"/>
      <c r="W59" s="57"/>
      <c r="X59" s="57"/>
      <c r="Y59" s="57"/>
      <c r="Z59" s="57"/>
      <c r="AA59" s="67">
        <f t="shared" si="21"/>
        <v>38.974220000000003</v>
      </c>
      <c r="AB59" s="57">
        <f>4.62119+0.81654+0.948+2.85665+0.81654+2.85665+0.948+2.85665+0.81654+0.948+0.948+2.85665+0.81654+2.85665+0.948+0.81654+1.896+1.63308+5.7133+2.0047</f>
        <v>38.974220000000003</v>
      </c>
      <c r="AC59" s="57"/>
      <c r="AD59" s="57"/>
      <c r="AE59" s="57"/>
      <c r="AF59" s="57"/>
      <c r="AG59" s="57"/>
      <c r="AH59" s="57"/>
      <c r="AI59" s="57"/>
      <c r="AJ59" s="57"/>
      <c r="AK59" s="57"/>
    </row>
    <row r="60" spans="1:39" ht="20.25">
      <c r="A60" s="36" t="s">
        <v>151</v>
      </c>
      <c r="B60" s="80"/>
      <c r="C60" s="73"/>
      <c r="D60" s="249"/>
      <c r="E60" s="67">
        <f t="shared" si="3"/>
        <v>20.770020000000002</v>
      </c>
      <c r="F60" s="57">
        <f>41.7-13.45428-4.18932-3.28638</f>
        <v>20.770020000000002</v>
      </c>
      <c r="G60" s="57"/>
      <c r="H60" s="57"/>
      <c r="I60" s="57"/>
      <c r="J60" s="57"/>
      <c r="K60" s="57"/>
      <c r="L60" s="57"/>
      <c r="M60" s="57"/>
      <c r="N60" s="57"/>
      <c r="O60" s="57"/>
      <c r="P60" s="67">
        <f t="shared" si="5"/>
        <v>20.770019999999999</v>
      </c>
      <c r="Q60" s="57">
        <f>20.77002+0.00004-0.00004</f>
        <v>20.770019999999999</v>
      </c>
      <c r="R60" s="57"/>
      <c r="S60" s="57"/>
      <c r="T60" s="57"/>
      <c r="U60" s="57"/>
      <c r="V60" s="57"/>
      <c r="W60" s="57"/>
      <c r="X60" s="57"/>
      <c r="Y60" s="57"/>
      <c r="Z60" s="57"/>
      <c r="AA60" s="67">
        <f t="shared" si="21"/>
        <v>20.770020000000002</v>
      </c>
      <c r="AB60" s="57">
        <f>1.89347+1.89347+2.11593+2.11593+2.0047+2.11593+4.0094+4.62119</f>
        <v>20.770020000000002</v>
      </c>
      <c r="AC60" s="57"/>
      <c r="AD60" s="57"/>
      <c r="AE60" s="57"/>
      <c r="AF60" s="57"/>
      <c r="AG60" s="57"/>
      <c r="AH60" s="57"/>
      <c r="AI60" s="57"/>
      <c r="AJ60" s="57"/>
      <c r="AK60" s="57"/>
      <c r="AL60" s="190"/>
    </row>
    <row r="61" spans="1:39" ht="20.25">
      <c r="A61" s="36" t="s">
        <v>162</v>
      </c>
      <c r="B61" s="80"/>
      <c r="C61" s="73"/>
      <c r="D61" s="249"/>
      <c r="E61" s="67">
        <f t="shared" si="3"/>
        <v>42</v>
      </c>
      <c r="F61" s="61">
        <f>20+15+14-7</f>
        <v>42</v>
      </c>
      <c r="G61" s="61"/>
      <c r="H61" s="61"/>
      <c r="I61" s="61"/>
      <c r="J61" s="61"/>
      <c r="K61" s="61"/>
      <c r="L61" s="61"/>
      <c r="M61" s="61"/>
      <c r="N61" s="61"/>
      <c r="O61" s="61"/>
      <c r="P61" s="67">
        <f t="shared" si="5"/>
        <v>42</v>
      </c>
      <c r="Q61" s="61">
        <f>3.5+3.5+3.5+3.5+3.5+3.5+7+3.5+3.5+3.5+3.5</f>
        <v>42</v>
      </c>
      <c r="R61" s="61"/>
      <c r="S61" s="61"/>
      <c r="T61" s="61"/>
      <c r="U61" s="61"/>
      <c r="V61" s="61"/>
      <c r="W61" s="61"/>
      <c r="X61" s="61"/>
      <c r="Y61" s="61"/>
      <c r="Z61" s="61"/>
      <c r="AA61" s="67">
        <f t="shared" si="21"/>
        <v>42</v>
      </c>
      <c r="AB61" s="61">
        <f>3.5+3.5+3.5+3.5+3.5+3.5+7+3.5+3.5+3.5+3.5</f>
        <v>42</v>
      </c>
      <c r="AC61" s="61"/>
      <c r="AD61" s="61"/>
      <c r="AE61" s="61"/>
      <c r="AF61" s="61"/>
      <c r="AG61" s="61"/>
      <c r="AH61" s="61"/>
      <c r="AI61" s="61"/>
      <c r="AJ61" s="61"/>
      <c r="AK61" s="61"/>
    </row>
    <row r="62" spans="1:39" ht="20.25" hidden="1">
      <c r="A62" s="36"/>
      <c r="B62" s="80"/>
      <c r="C62" s="73"/>
      <c r="D62" s="249"/>
      <c r="E62" s="67">
        <f t="shared" si="3"/>
        <v>0</v>
      </c>
      <c r="F62" s="57"/>
      <c r="G62" s="57"/>
      <c r="H62" s="57"/>
      <c r="I62" s="61"/>
      <c r="J62" s="61"/>
      <c r="K62" s="61"/>
      <c r="L62" s="61"/>
      <c r="M62" s="61"/>
      <c r="N62" s="61"/>
      <c r="O62" s="61"/>
      <c r="P62" s="67">
        <f t="shared" si="5"/>
        <v>0</v>
      </c>
      <c r="Q62" s="57"/>
      <c r="R62" s="57"/>
      <c r="S62" s="57"/>
      <c r="T62" s="61"/>
      <c r="U62" s="61"/>
      <c r="V62" s="61"/>
      <c r="W62" s="61"/>
      <c r="X62" s="61"/>
      <c r="Y62" s="61"/>
      <c r="Z62" s="61"/>
      <c r="AA62" s="67">
        <f t="shared" si="21"/>
        <v>0</v>
      </c>
      <c r="AB62" s="57"/>
      <c r="AC62" s="57"/>
      <c r="AD62" s="57"/>
      <c r="AE62" s="61"/>
      <c r="AF62" s="61"/>
      <c r="AG62" s="61"/>
      <c r="AH62" s="61"/>
      <c r="AI62" s="61"/>
      <c r="AJ62" s="61"/>
      <c r="AK62" s="61"/>
    </row>
    <row r="63" spans="1:39" ht="20.25" hidden="1">
      <c r="A63" s="36"/>
      <c r="B63" s="80"/>
      <c r="C63" s="73"/>
      <c r="D63" s="249"/>
      <c r="E63" s="67">
        <f t="shared" si="3"/>
        <v>0</v>
      </c>
      <c r="F63" s="57"/>
      <c r="G63" s="57"/>
      <c r="H63" s="57"/>
      <c r="I63" s="61"/>
      <c r="J63" s="61"/>
      <c r="K63" s="61"/>
      <c r="L63" s="61"/>
      <c r="M63" s="61"/>
      <c r="N63" s="61"/>
      <c r="O63" s="61"/>
      <c r="P63" s="67">
        <f t="shared" si="5"/>
        <v>0</v>
      </c>
      <c r="Q63" s="57"/>
      <c r="R63" s="57"/>
      <c r="S63" s="57"/>
      <c r="T63" s="61"/>
      <c r="U63" s="61"/>
      <c r="V63" s="61"/>
      <c r="W63" s="61"/>
      <c r="X63" s="61"/>
      <c r="Y63" s="61"/>
      <c r="Z63" s="61"/>
      <c r="AA63" s="67">
        <f t="shared" si="21"/>
        <v>0</v>
      </c>
      <c r="AB63" s="57"/>
      <c r="AC63" s="57"/>
      <c r="AD63" s="57"/>
      <c r="AE63" s="61"/>
      <c r="AF63" s="61"/>
      <c r="AG63" s="61"/>
      <c r="AH63" s="61"/>
      <c r="AI63" s="61"/>
      <c r="AJ63" s="61"/>
      <c r="AK63" s="61"/>
    </row>
    <row r="64" spans="1:39" ht="20.25" hidden="1">
      <c r="A64" s="36"/>
      <c r="B64" s="80"/>
      <c r="C64" s="73"/>
      <c r="D64" s="249"/>
      <c r="E64" s="67">
        <f t="shared" si="3"/>
        <v>0</v>
      </c>
      <c r="F64" s="57"/>
      <c r="G64" s="57"/>
      <c r="H64" s="57"/>
      <c r="I64" s="61"/>
      <c r="J64" s="61"/>
      <c r="K64" s="61"/>
      <c r="L64" s="61"/>
      <c r="M64" s="61"/>
      <c r="N64" s="61"/>
      <c r="O64" s="61"/>
      <c r="P64" s="67">
        <f t="shared" si="5"/>
        <v>0</v>
      </c>
      <c r="Q64" s="57"/>
      <c r="R64" s="57"/>
      <c r="S64" s="57"/>
      <c r="T64" s="61"/>
      <c r="U64" s="61"/>
      <c r="V64" s="61"/>
      <c r="W64" s="61"/>
      <c r="X64" s="61"/>
      <c r="Y64" s="61"/>
      <c r="Z64" s="61"/>
      <c r="AA64" s="67">
        <f t="shared" si="21"/>
        <v>0</v>
      </c>
      <c r="AB64" s="57"/>
      <c r="AC64" s="57"/>
      <c r="AD64" s="57"/>
      <c r="AE64" s="61"/>
      <c r="AF64" s="61"/>
      <c r="AG64" s="61"/>
      <c r="AH64" s="61"/>
      <c r="AI64" s="61"/>
      <c r="AJ64" s="61"/>
      <c r="AK64" s="61"/>
    </row>
    <row r="65" spans="1:39" ht="20.25">
      <c r="A65" s="35" t="s">
        <v>67</v>
      </c>
      <c r="B65" s="80"/>
      <c r="C65" s="73"/>
      <c r="D65" s="250"/>
      <c r="E65" s="67">
        <f t="shared" si="3"/>
        <v>0</v>
      </c>
      <c r="F65" s="57"/>
      <c r="G65" s="57"/>
      <c r="H65" s="57"/>
      <c r="I65" s="61"/>
      <c r="J65" s="61"/>
      <c r="K65" s="61"/>
      <c r="L65" s="61"/>
      <c r="M65" s="61"/>
      <c r="N65" s="61"/>
      <c r="O65" s="61"/>
      <c r="P65" s="67">
        <f t="shared" si="5"/>
        <v>0</v>
      </c>
      <c r="Q65" s="57"/>
      <c r="R65" s="57"/>
      <c r="S65" s="57"/>
      <c r="T65" s="61"/>
      <c r="U65" s="61"/>
      <c r="V65" s="61"/>
      <c r="W65" s="61"/>
      <c r="X65" s="61"/>
      <c r="Y65" s="61"/>
      <c r="Z65" s="61"/>
      <c r="AA65" s="67">
        <f t="shared" si="21"/>
        <v>0</v>
      </c>
      <c r="AB65" s="57"/>
      <c r="AC65" s="57"/>
      <c r="AD65" s="57"/>
      <c r="AE65" s="61"/>
      <c r="AF65" s="61"/>
      <c r="AG65" s="61"/>
      <c r="AH65" s="61"/>
      <c r="AI65" s="61"/>
      <c r="AJ65" s="61"/>
      <c r="AK65" s="61"/>
    </row>
    <row r="66" spans="1:39" s="60" customFormat="1" ht="20.25">
      <c r="A66" s="26" t="s">
        <v>55</v>
      </c>
      <c r="B66" s="71"/>
      <c r="C66" s="71"/>
      <c r="D66" s="248">
        <v>226</v>
      </c>
      <c r="E66" s="67">
        <f t="shared" si="3"/>
        <v>2285.5518099999999</v>
      </c>
      <c r="F66" s="69">
        <f>SUM(F67:F88)</f>
        <v>2285.5518099999999</v>
      </c>
      <c r="G66" s="69">
        <f t="shared" ref="G66:O66" si="24">SUM(G67:G88)</f>
        <v>0</v>
      </c>
      <c r="H66" s="69">
        <f t="shared" si="24"/>
        <v>0</v>
      </c>
      <c r="I66" s="69">
        <f t="shared" si="24"/>
        <v>0</v>
      </c>
      <c r="J66" s="69">
        <f t="shared" si="24"/>
        <v>0</v>
      </c>
      <c r="K66" s="69">
        <f t="shared" si="24"/>
        <v>0</v>
      </c>
      <c r="L66" s="69">
        <f t="shared" si="24"/>
        <v>0</v>
      </c>
      <c r="M66" s="69">
        <f t="shared" si="24"/>
        <v>0</v>
      </c>
      <c r="N66" s="69">
        <f t="shared" si="24"/>
        <v>0</v>
      </c>
      <c r="O66" s="69">
        <f t="shared" si="24"/>
        <v>0</v>
      </c>
      <c r="P66" s="67">
        <f t="shared" si="5"/>
        <v>2285.5518099999999</v>
      </c>
      <c r="Q66" s="69">
        <f>SUM(Q67:Q88)</f>
        <v>2285.5518099999999</v>
      </c>
      <c r="R66" s="69">
        <f t="shared" ref="R66:Z66" si="25">SUM(R67:R88)</f>
        <v>0</v>
      </c>
      <c r="S66" s="69">
        <f t="shared" si="25"/>
        <v>0</v>
      </c>
      <c r="T66" s="69">
        <f t="shared" si="25"/>
        <v>0</v>
      </c>
      <c r="U66" s="69">
        <f t="shared" si="25"/>
        <v>0</v>
      </c>
      <c r="V66" s="69">
        <f t="shared" si="25"/>
        <v>0</v>
      </c>
      <c r="W66" s="69">
        <f t="shared" si="25"/>
        <v>0</v>
      </c>
      <c r="X66" s="69">
        <f t="shared" si="25"/>
        <v>0</v>
      </c>
      <c r="Y66" s="69">
        <f t="shared" si="25"/>
        <v>0</v>
      </c>
      <c r="Z66" s="69">
        <f t="shared" si="25"/>
        <v>0</v>
      </c>
      <c r="AA66" s="67">
        <f t="shared" si="21"/>
        <v>2285.5518099999999</v>
      </c>
      <c r="AB66" s="69">
        <f>SUM(AB67:AB88)</f>
        <v>2285.5518099999999</v>
      </c>
      <c r="AC66" s="69">
        <f t="shared" ref="AC66:AK66" si="26">SUM(AC67:AC88)</f>
        <v>0</v>
      </c>
      <c r="AD66" s="69">
        <f t="shared" si="26"/>
        <v>0</v>
      </c>
      <c r="AE66" s="69">
        <f t="shared" si="26"/>
        <v>0</v>
      </c>
      <c r="AF66" s="69">
        <f t="shared" si="26"/>
        <v>0</v>
      </c>
      <c r="AG66" s="69">
        <f t="shared" si="26"/>
        <v>0</v>
      </c>
      <c r="AH66" s="69">
        <f t="shared" si="26"/>
        <v>0</v>
      </c>
      <c r="AI66" s="69">
        <f t="shared" si="26"/>
        <v>0</v>
      </c>
      <c r="AJ66" s="69">
        <f t="shared" si="26"/>
        <v>0</v>
      </c>
      <c r="AK66" s="69">
        <f t="shared" si="26"/>
        <v>0</v>
      </c>
      <c r="AM66" s="193"/>
    </row>
    <row r="67" spans="1:39" ht="20.25" hidden="1">
      <c r="A67" s="39" t="s">
        <v>56</v>
      </c>
      <c r="B67" s="82"/>
      <c r="C67" s="73"/>
      <c r="D67" s="249"/>
      <c r="E67" s="67">
        <f t="shared" si="3"/>
        <v>0</v>
      </c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67">
        <f t="shared" si="5"/>
        <v>0</v>
      </c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67">
        <f t="shared" si="21"/>
        <v>0</v>
      </c>
      <c r="AB67" s="57"/>
      <c r="AC67" s="57"/>
      <c r="AD67" s="57"/>
      <c r="AE67" s="57"/>
      <c r="AF67" s="57"/>
      <c r="AG67" s="57"/>
      <c r="AH67" s="57"/>
      <c r="AI67" s="57"/>
      <c r="AJ67" s="57"/>
      <c r="AK67" s="57"/>
    </row>
    <row r="68" spans="1:39" ht="20.25">
      <c r="A68" s="35" t="s">
        <v>57</v>
      </c>
      <c r="B68" s="79"/>
      <c r="C68" s="73"/>
      <c r="D68" s="249"/>
      <c r="E68" s="67">
        <f t="shared" si="3"/>
        <v>193.14</v>
      </c>
      <c r="F68" s="57">
        <f>275.2-78.86-3.2</f>
        <v>193.14</v>
      </c>
      <c r="G68" s="57"/>
      <c r="H68" s="57"/>
      <c r="I68" s="57"/>
      <c r="J68" s="57"/>
      <c r="K68" s="57"/>
      <c r="L68" s="57"/>
      <c r="M68" s="57"/>
      <c r="N68" s="57"/>
      <c r="O68" s="57"/>
      <c r="P68" s="67">
        <f t="shared" si="5"/>
        <v>193.14000000000001</v>
      </c>
      <c r="Q68" s="57">
        <f>184.54+2.8+3+2.8</f>
        <v>193.14000000000001</v>
      </c>
      <c r="R68" s="57"/>
      <c r="S68" s="57"/>
      <c r="T68" s="57"/>
      <c r="U68" s="57"/>
      <c r="V68" s="57"/>
      <c r="W68" s="57"/>
      <c r="X68" s="57"/>
      <c r="Y68" s="57"/>
      <c r="Z68" s="57"/>
      <c r="AA68" s="67">
        <f t="shared" si="21"/>
        <v>193.14000000000001</v>
      </c>
      <c r="AB68" s="57">
        <f>98.4+1.1+6+3+68.62+7.42+2.8+3+2.8</f>
        <v>193.14000000000001</v>
      </c>
      <c r="AC68" s="57"/>
      <c r="AD68" s="57"/>
      <c r="AE68" s="57"/>
      <c r="AF68" s="57"/>
      <c r="AG68" s="57"/>
      <c r="AH68" s="57"/>
      <c r="AI68" s="57"/>
      <c r="AJ68" s="57"/>
      <c r="AK68" s="57"/>
    </row>
    <row r="69" spans="1:39" ht="31.5">
      <c r="A69" s="36" t="s">
        <v>58</v>
      </c>
      <c r="B69" s="80"/>
      <c r="C69" s="73"/>
      <c r="D69" s="249"/>
      <c r="E69" s="67">
        <f t="shared" si="3"/>
        <v>0</v>
      </c>
      <c r="F69" s="58">
        <f>50-8.4-1.6-40</f>
        <v>0</v>
      </c>
      <c r="G69" s="58"/>
      <c r="H69" s="58"/>
      <c r="I69" s="58"/>
      <c r="J69" s="58"/>
      <c r="K69" s="58"/>
      <c r="L69" s="58"/>
      <c r="M69" s="58"/>
      <c r="N69" s="58"/>
      <c r="O69" s="58"/>
      <c r="P69" s="67">
        <f t="shared" si="5"/>
        <v>0</v>
      </c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67">
        <f t="shared" si="21"/>
        <v>0</v>
      </c>
      <c r="AB69" s="58"/>
      <c r="AC69" s="58"/>
      <c r="AD69" s="58"/>
      <c r="AE69" s="58"/>
      <c r="AF69" s="58"/>
      <c r="AG69" s="58"/>
      <c r="AH69" s="58"/>
      <c r="AI69" s="58"/>
      <c r="AJ69" s="58"/>
      <c r="AK69" s="58"/>
    </row>
    <row r="70" spans="1:39" ht="20.25">
      <c r="A70" s="35" t="s">
        <v>139</v>
      </c>
      <c r="B70" s="79"/>
      <c r="C70" s="73"/>
      <c r="D70" s="249"/>
      <c r="E70" s="67">
        <f t="shared" si="3"/>
        <v>0</v>
      </c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67">
        <f t="shared" si="5"/>
        <v>0</v>
      </c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67">
        <f t="shared" si="21"/>
        <v>0</v>
      </c>
      <c r="AB70" s="57"/>
      <c r="AC70" s="57"/>
      <c r="AD70" s="57"/>
      <c r="AE70" s="57"/>
      <c r="AF70" s="57"/>
      <c r="AG70" s="57"/>
      <c r="AH70" s="57"/>
      <c r="AI70" s="57"/>
      <c r="AJ70" s="57"/>
      <c r="AK70" s="57"/>
    </row>
    <row r="71" spans="1:39" ht="20.25">
      <c r="A71" s="36" t="s">
        <v>59</v>
      </c>
      <c r="B71" s="80"/>
      <c r="C71" s="73"/>
      <c r="D71" s="249"/>
      <c r="E71" s="67">
        <f t="shared" ref="E71:E134" si="27">F71+G71+H71+I71+J71+K71+L71+M71+N71+O71</f>
        <v>0</v>
      </c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67">
        <f t="shared" ref="P71:P134" si="28">Q71+R71+S71+T71+U71+V71+W71+X71+Y71+Z71</f>
        <v>0</v>
      </c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67">
        <f t="shared" si="21"/>
        <v>0</v>
      </c>
      <c r="AB71" s="57"/>
      <c r="AC71" s="57"/>
      <c r="AD71" s="57"/>
      <c r="AE71" s="57"/>
      <c r="AF71" s="57"/>
      <c r="AG71" s="57"/>
      <c r="AH71" s="57"/>
      <c r="AI71" s="57"/>
      <c r="AJ71" s="57"/>
      <c r="AK71" s="57"/>
    </row>
    <row r="72" spans="1:39" ht="20.25" hidden="1">
      <c r="A72" s="35"/>
      <c r="B72" s="79"/>
      <c r="C72" s="73"/>
      <c r="D72" s="249"/>
      <c r="E72" s="67">
        <f t="shared" si="27"/>
        <v>0</v>
      </c>
      <c r="F72" s="57"/>
      <c r="G72" s="57"/>
      <c r="H72" s="57"/>
      <c r="I72" s="61"/>
      <c r="J72" s="61"/>
      <c r="K72" s="61"/>
      <c r="L72" s="61"/>
      <c r="M72" s="61"/>
      <c r="N72" s="61"/>
      <c r="O72" s="61"/>
      <c r="P72" s="67">
        <f t="shared" si="28"/>
        <v>0</v>
      </c>
      <c r="Q72" s="57"/>
      <c r="R72" s="57"/>
      <c r="S72" s="57"/>
      <c r="T72" s="61"/>
      <c r="U72" s="61"/>
      <c r="V72" s="61"/>
      <c r="W72" s="61"/>
      <c r="X72" s="61"/>
      <c r="Y72" s="61"/>
      <c r="Z72" s="61"/>
      <c r="AA72" s="67">
        <f t="shared" si="21"/>
        <v>0</v>
      </c>
      <c r="AB72" s="57"/>
      <c r="AC72" s="57"/>
      <c r="AD72" s="57"/>
      <c r="AE72" s="61"/>
      <c r="AF72" s="61"/>
      <c r="AG72" s="61"/>
      <c r="AH72" s="61"/>
      <c r="AI72" s="61"/>
      <c r="AJ72" s="61"/>
      <c r="AK72" s="61"/>
    </row>
    <row r="73" spans="1:39" ht="20.25">
      <c r="A73" s="35" t="s">
        <v>60</v>
      </c>
      <c r="B73" s="79"/>
      <c r="C73" s="73"/>
      <c r="D73" s="249"/>
      <c r="E73" s="67">
        <f t="shared" si="27"/>
        <v>5.2625000000000002</v>
      </c>
      <c r="F73" s="57">
        <f>8.5-4.8+2.5605-0.998</f>
        <v>5.2625000000000002</v>
      </c>
      <c r="G73" s="57"/>
      <c r="H73" s="57"/>
      <c r="I73" s="57"/>
      <c r="J73" s="57"/>
      <c r="K73" s="57"/>
      <c r="L73" s="57"/>
      <c r="M73" s="57"/>
      <c r="N73" s="57"/>
      <c r="O73" s="57"/>
      <c r="P73" s="67">
        <f t="shared" si="28"/>
        <v>5.2624999999999993</v>
      </c>
      <c r="Q73" s="57">
        <f>1.2521+4.0104</f>
        <v>5.2624999999999993</v>
      </c>
      <c r="R73" s="57"/>
      <c r="S73" s="57"/>
      <c r="T73" s="57"/>
      <c r="U73" s="57"/>
      <c r="V73" s="57"/>
      <c r="W73" s="57"/>
      <c r="X73" s="57"/>
      <c r="Y73" s="57"/>
      <c r="Z73" s="57"/>
      <c r="AA73" s="67">
        <f t="shared" si="21"/>
        <v>5.2625000000000002</v>
      </c>
      <c r="AB73" s="57">
        <v>5.2625000000000002</v>
      </c>
      <c r="AC73" s="57"/>
      <c r="AD73" s="57"/>
      <c r="AE73" s="57"/>
      <c r="AF73" s="57"/>
      <c r="AG73" s="57"/>
      <c r="AH73" s="57"/>
      <c r="AI73" s="57"/>
      <c r="AJ73" s="57"/>
      <c r="AK73" s="57"/>
    </row>
    <row r="74" spans="1:39" ht="20.25">
      <c r="A74" s="35" t="s">
        <v>168</v>
      </c>
      <c r="B74" s="79"/>
      <c r="C74" s="73"/>
      <c r="D74" s="249"/>
      <c r="E74" s="67">
        <f t="shared" si="27"/>
        <v>4.8</v>
      </c>
      <c r="F74" s="57">
        <v>4.8</v>
      </c>
      <c r="G74" s="57"/>
      <c r="H74" s="57"/>
      <c r="I74" s="57"/>
      <c r="J74" s="57"/>
      <c r="K74" s="57"/>
      <c r="L74" s="57"/>
      <c r="M74" s="57"/>
      <c r="N74" s="57"/>
      <c r="O74" s="57"/>
      <c r="P74" s="67">
        <f t="shared" si="28"/>
        <v>4.8</v>
      </c>
      <c r="Q74" s="57">
        <v>4.8</v>
      </c>
      <c r="R74" s="57"/>
      <c r="S74" s="57"/>
      <c r="T74" s="57"/>
      <c r="U74" s="57"/>
      <c r="V74" s="57"/>
      <c r="W74" s="57"/>
      <c r="X74" s="57"/>
      <c r="Y74" s="57"/>
      <c r="Z74" s="57"/>
      <c r="AA74" s="67">
        <f t="shared" si="21"/>
        <v>4.8</v>
      </c>
      <c r="AB74" s="57">
        <v>4.8</v>
      </c>
      <c r="AC74" s="57"/>
      <c r="AD74" s="57"/>
      <c r="AE74" s="57"/>
      <c r="AF74" s="57"/>
      <c r="AG74" s="57"/>
      <c r="AH74" s="57"/>
      <c r="AI74" s="57"/>
      <c r="AJ74" s="57"/>
      <c r="AK74" s="57"/>
    </row>
    <row r="75" spans="1:39" ht="20.25">
      <c r="A75" s="35" t="s">
        <v>62</v>
      </c>
      <c r="B75" s="79"/>
      <c r="C75" s="73"/>
      <c r="D75" s="249"/>
      <c r="E75" s="67">
        <f t="shared" si="27"/>
        <v>32.268660000000004</v>
      </c>
      <c r="F75" s="57">
        <f>40-9.43168+4.2477-2.54736</f>
        <v>32.268660000000004</v>
      </c>
      <c r="G75" s="57"/>
      <c r="H75" s="57"/>
      <c r="I75" s="57"/>
      <c r="J75" s="57"/>
      <c r="K75" s="57"/>
      <c r="L75" s="57"/>
      <c r="M75" s="57"/>
      <c r="N75" s="57"/>
      <c r="O75" s="57"/>
      <c r="P75" s="67">
        <f t="shared" si="28"/>
        <v>32.268659999999997</v>
      </c>
      <c r="Q75" s="57">
        <f>29.7213+2.54736</f>
        <v>32.268659999999997</v>
      </c>
      <c r="R75" s="57"/>
      <c r="S75" s="57"/>
      <c r="T75" s="57"/>
      <c r="U75" s="57"/>
      <c r="V75" s="57"/>
      <c r="W75" s="57"/>
      <c r="X75" s="57"/>
      <c r="Y75" s="57"/>
      <c r="Z75" s="57"/>
      <c r="AA75" s="67">
        <f t="shared" si="21"/>
        <v>32.268659999999997</v>
      </c>
      <c r="AB75" s="57">
        <v>32.268659999999997</v>
      </c>
      <c r="AC75" s="57"/>
      <c r="AD75" s="57"/>
      <c r="AE75" s="57"/>
      <c r="AF75" s="57"/>
      <c r="AG75" s="57"/>
      <c r="AH75" s="57"/>
      <c r="AI75" s="57"/>
      <c r="AJ75" s="57"/>
      <c r="AK75" s="57"/>
      <c r="AL75" s="190"/>
    </row>
    <row r="76" spans="1:39" ht="20.25">
      <c r="A76" s="36" t="s">
        <v>175</v>
      </c>
      <c r="B76" s="80"/>
      <c r="C76" s="73"/>
      <c r="D76" s="249"/>
      <c r="E76" s="67">
        <f t="shared" si="27"/>
        <v>478.28289999999998</v>
      </c>
      <c r="F76" s="57">
        <f>500-21.5-0.2171</f>
        <v>478.28289999999998</v>
      </c>
      <c r="G76" s="57"/>
      <c r="H76" s="57"/>
      <c r="I76" s="57"/>
      <c r="J76" s="57"/>
      <c r="K76" s="57"/>
      <c r="L76" s="57"/>
      <c r="M76" s="57"/>
      <c r="N76" s="57"/>
      <c r="O76" s="57"/>
      <c r="P76" s="67">
        <f t="shared" si="28"/>
        <v>478.28289999999998</v>
      </c>
      <c r="Q76" s="57">
        <f>79.05+214.7829+184.45</f>
        <v>478.28289999999998</v>
      </c>
      <c r="R76" s="57"/>
      <c r="S76" s="57"/>
      <c r="T76" s="57"/>
      <c r="U76" s="57"/>
      <c r="V76" s="57"/>
      <c r="W76" s="57"/>
      <c r="X76" s="57"/>
      <c r="Y76" s="57"/>
      <c r="Z76" s="57"/>
      <c r="AA76" s="67">
        <f t="shared" si="21"/>
        <v>478.28289999999998</v>
      </c>
      <c r="AB76" s="57">
        <f>79.05+214.7829+184.45</f>
        <v>478.28289999999998</v>
      </c>
      <c r="AC76" s="57"/>
      <c r="AD76" s="57"/>
      <c r="AE76" s="57"/>
      <c r="AF76" s="57"/>
      <c r="AG76" s="57"/>
      <c r="AH76" s="57"/>
      <c r="AI76" s="57"/>
      <c r="AJ76" s="57"/>
      <c r="AK76" s="57"/>
      <c r="AL76" s="190"/>
    </row>
    <row r="77" spans="1:39" ht="20.25">
      <c r="A77" s="35" t="s">
        <v>171</v>
      </c>
      <c r="B77" s="79"/>
      <c r="C77" s="73"/>
      <c r="D77" s="249"/>
      <c r="E77" s="67">
        <f t="shared" si="27"/>
        <v>34.28</v>
      </c>
      <c r="F77" s="57">
        <f>8.4+25.88</f>
        <v>34.28</v>
      </c>
      <c r="G77" s="57"/>
      <c r="H77" s="57"/>
      <c r="I77" s="57"/>
      <c r="J77" s="57"/>
      <c r="K77" s="57"/>
      <c r="L77" s="57"/>
      <c r="M77" s="57"/>
      <c r="N77" s="57"/>
      <c r="O77" s="57"/>
      <c r="P77" s="67">
        <f t="shared" si="28"/>
        <v>34.28</v>
      </c>
      <c r="Q77" s="57">
        <f>8.4+25.88</f>
        <v>34.28</v>
      </c>
      <c r="R77" s="57"/>
      <c r="S77" s="57"/>
      <c r="T77" s="57"/>
      <c r="U77" s="57"/>
      <c r="V77" s="57"/>
      <c r="W77" s="57"/>
      <c r="X77" s="57"/>
      <c r="Y77" s="57"/>
      <c r="Z77" s="57"/>
      <c r="AA77" s="67">
        <f t="shared" si="21"/>
        <v>34.28</v>
      </c>
      <c r="AB77" s="57">
        <v>34.28</v>
      </c>
      <c r="AC77" s="57"/>
      <c r="AD77" s="57"/>
      <c r="AE77" s="57"/>
      <c r="AF77" s="57"/>
      <c r="AG77" s="57"/>
      <c r="AH77" s="57"/>
      <c r="AI77" s="57"/>
      <c r="AJ77" s="57"/>
      <c r="AK77" s="57"/>
    </row>
    <row r="78" spans="1:39" ht="20.25">
      <c r="A78" s="36" t="s">
        <v>188</v>
      </c>
      <c r="B78" s="80"/>
      <c r="C78" s="73"/>
      <c r="D78" s="249"/>
      <c r="E78" s="67">
        <f t="shared" si="27"/>
        <v>195.19775000000004</v>
      </c>
      <c r="F78" s="57">
        <f>500-29.75291-275.04934</f>
        <v>195.19775000000004</v>
      </c>
      <c r="G78" s="57"/>
      <c r="H78" s="57"/>
      <c r="I78" s="57"/>
      <c r="J78" s="57"/>
      <c r="K78" s="57"/>
      <c r="L78" s="57"/>
      <c r="M78" s="57"/>
      <c r="N78" s="57"/>
      <c r="O78" s="57"/>
      <c r="P78" s="67">
        <f t="shared" si="28"/>
        <v>195.19774999999998</v>
      </c>
      <c r="Q78" s="57">
        <f>98.4+96.79775+275.04934-275.04934</f>
        <v>195.19774999999998</v>
      </c>
      <c r="R78" s="57"/>
      <c r="S78" s="57"/>
      <c r="T78" s="57"/>
      <c r="U78" s="57"/>
      <c r="V78" s="57"/>
      <c r="W78" s="57"/>
      <c r="X78" s="57"/>
      <c r="Y78" s="57"/>
      <c r="Z78" s="57"/>
      <c r="AA78" s="67">
        <f t="shared" si="21"/>
        <v>195.19774999999998</v>
      </c>
      <c r="AB78" s="57">
        <f>98.4+96.79775+275.04934-275.04934</f>
        <v>195.19774999999998</v>
      </c>
      <c r="AC78" s="57"/>
      <c r="AD78" s="57"/>
      <c r="AE78" s="57"/>
      <c r="AF78" s="57"/>
      <c r="AG78" s="57"/>
      <c r="AH78" s="57"/>
      <c r="AI78" s="57"/>
      <c r="AJ78" s="57"/>
      <c r="AK78" s="57"/>
      <c r="AM78" s="190"/>
    </row>
    <row r="79" spans="1:39" ht="20.25">
      <c r="A79" s="35"/>
      <c r="B79" s="79"/>
      <c r="C79" s="73"/>
      <c r="D79" s="249"/>
      <c r="E79" s="67">
        <f t="shared" si="27"/>
        <v>0</v>
      </c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67">
        <f t="shared" si="28"/>
        <v>0</v>
      </c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67">
        <f t="shared" si="21"/>
        <v>0</v>
      </c>
      <c r="AB79" s="57"/>
      <c r="AC79" s="57"/>
      <c r="AD79" s="57"/>
      <c r="AE79" s="57"/>
      <c r="AF79" s="57"/>
      <c r="AG79" s="57"/>
      <c r="AH79" s="57"/>
      <c r="AI79" s="57"/>
      <c r="AJ79" s="57"/>
      <c r="AK79" s="57"/>
    </row>
    <row r="80" spans="1:39" ht="20.25">
      <c r="A80" s="35" t="s">
        <v>64</v>
      </c>
      <c r="B80" s="79"/>
      <c r="C80" s="73"/>
      <c r="D80" s="249"/>
      <c r="E80" s="67">
        <f t="shared" si="27"/>
        <v>0</v>
      </c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67">
        <f t="shared" si="28"/>
        <v>0</v>
      </c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67">
        <f t="shared" si="21"/>
        <v>0</v>
      </c>
      <c r="AB80" s="57"/>
      <c r="AC80" s="57"/>
      <c r="AD80" s="57"/>
      <c r="AE80" s="57"/>
      <c r="AF80" s="57"/>
      <c r="AG80" s="57"/>
      <c r="AH80" s="57"/>
      <c r="AI80" s="57"/>
      <c r="AJ80" s="57"/>
      <c r="AK80" s="57"/>
    </row>
    <row r="81" spans="1:38" ht="20.25">
      <c r="A81" s="35" t="s">
        <v>65</v>
      </c>
      <c r="B81" s="79"/>
      <c r="C81" s="73"/>
      <c r="D81" s="249"/>
      <c r="E81" s="67">
        <f t="shared" si="27"/>
        <v>0</v>
      </c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67">
        <f t="shared" si="28"/>
        <v>0</v>
      </c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67">
        <f t="shared" si="21"/>
        <v>0</v>
      </c>
      <c r="AB81" s="57"/>
      <c r="AC81" s="57"/>
      <c r="AD81" s="57"/>
      <c r="AE81" s="57"/>
      <c r="AF81" s="57"/>
      <c r="AG81" s="57"/>
      <c r="AH81" s="57"/>
      <c r="AI81" s="57"/>
      <c r="AJ81" s="57"/>
      <c r="AK81" s="57"/>
    </row>
    <row r="82" spans="1:38" ht="20.25">
      <c r="A82" s="35" t="s">
        <v>186</v>
      </c>
      <c r="B82" s="79"/>
      <c r="C82" s="73"/>
      <c r="D82" s="249"/>
      <c r="E82" s="67">
        <f t="shared" si="27"/>
        <v>420</v>
      </c>
      <c r="F82" s="57">
        <v>420</v>
      </c>
      <c r="G82" s="57"/>
      <c r="H82" s="57"/>
      <c r="I82" s="57"/>
      <c r="J82" s="57"/>
      <c r="K82" s="57"/>
      <c r="L82" s="57"/>
      <c r="M82" s="57"/>
      <c r="N82" s="57"/>
      <c r="O82" s="57"/>
      <c r="P82" s="67">
        <f t="shared" si="28"/>
        <v>420</v>
      </c>
      <c r="Q82" s="57">
        <v>420</v>
      </c>
      <c r="R82" s="57"/>
      <c r="S82" s="57"/>
      <c r="T82" s="57"/>
      <c r="U82" s="57"/>
      <c r="V82" s="57"/>
      <c r="W82" s="57"/>
      <c r="X82" s="57"/>
      <c r="Y82" s="57"/>
      <c r="Z82" s="57"/>
      <c r="AA82" s="67">
        <f t="shared" si="21"/>
        <v>420</v>
      </c>
      <c r="AB82" s="57">
        <v>420</v>
      </c>
      <c r="AC82" s="57"/>
      <c r="AD82" s="57"/>
      <c r="AE82" s="57"/>
      <c r="AF82" s="57"/>
      <c r="AG82" s="57"/>
      <c r="AH82" s="57"/>
      <c r="AI82" s="57"/>
      <c r="AJ82" s="57"/>
      <c r="AK82" s="57"/>
    </row>
    <row r="83" spans="1:38" ht="20.25">
      <c r="A83" s="35" t="s">
        <v>152</v>
      </c>
      <c r="B83" s="79"/>
      <c r="C83" s="73"/>
      <c r="D83" s="249"/>
      <c r="E83" s="67">
        <f t="shared" si="27"/>
        <v>922.31999999999994</v>
      </c>
      <c r="F83" s="57">
        <f>458.64+309.96+153.72</f>
        <v>922.31999999999994</v>
      </c>
      <c r="G83" s="57"/>
      <c r="H83" s="57"/>
      <c r="I83" s="57"/>
      <c r="J83" s="57"/>
      <c r="K83" s="57"/>
      <c r="L83" s="57"/>
      <c r="M83" s="57"/>
      <c r="N83" s="57"/>
      <c r="O83" s="57"/>
      <c r="P83" s="67">
        <f t="shared" si="28"/>
        <v>922.32</v>
      </c>
      <c r="Q83" s="57">
        <f>78.12+73.08+78.12+75.6+78.12+75.6+78.12+78.12+75.6+78.12+153.72</f>
        <v>922.32</v>
      </c>
      <c r="R83" s="57"/>
      <c r="S83" s="57"/>
      <c r="T83" s="57"/>
      <c r="U83" s="57"/>
      <c r="V83" s="57"/>
      <c r="W83" s="57"/>
      <c r="X83" s="57"/>
      <c r="Y83" s="57"/>
      <c r="Z83" s="57"/>
      <c r="AA83" s="67">
        <f t="shared" si="21"/>
        <v>922.32</v>
      </c>
      <c r="AB83" s="57">
        <v>922.32</v>
      </c>
      <c r="AC83" s="57"/>
      <c r="AD83" s="57"/>
      <c r="AE83" s="57"/>
      <c r="AF83" s="57"/>
      <c r="AG83" s="57"/>
      <c r="AH83" s="57"/>
      <c r="AI83" s="57"/>
      <c r="AJ83" s="57"/>
      <c r="AK83" s="57"/>
    </row>
    <row r="84" spans="1:38" ht="20.25" hidden="1">
      <c r="A84" s="35"/>
      <c r="B84" s="79"/>
      <c r="C84" s="73"/>
      <c r="D84" s="249"/>
      <c r="E84" s="67">
        <f t="shared" si="27"/>
        <v>0</v>
      </c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67">
        <f t="shared" si="28"/>
        <v>0</v>
      </c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67">
        <f t="shared" si="21"/>
        <v>0</v>
      </c>
      <c r="AB84" s="57"/>
      <c r="AC84" s="57"/>
      <c r="AD84" s="57"/>
      <c r="AE84" s="57"/>
      <c r="AF84" s="57"/>
      <c r="AG84" s="57"/>
      <c r="AH84" s="57"/>
      <c r="AI84" s="57"/>
      <c r="AJ84" s="57"/>
      <c r="AK84" s="57"/>
    </row>
    <row r="85" spans="1:38" ht="20.25" hidden="1">
      <c r="A85" s="35"/>
      <c r="B85" s="79"/>
      <c r="C85" s="73"/>
      <c r="D85" s="249"/>
      <c r="E85" s="67">
        <f t="shared" si="27"/>
        <v>0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67">
        <f t="shared" si="28"/>
        <v>0</v>
      </c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67">
        <f t="shared" si="21"/>
        <v>0</v>
      </c>
      <c r="AB85" s="57"/>
      <c r="AC85" s="57"/>
      <c r="AD85" s="57"/>
      <c r="AE85" s="57"/>
      <c r="AF85" s="57"/>
      <c r="AG85" s="57"/>
      <c r="AH85" s="57"/>
      <c r="AI85" s="57"/>
      <c r="AJ85" s="57"/>
      <c r="AK85" s="57"/>
    </row>
    <row r="86" spans="1:38" ht="20.25" hidden="1">
      <c r="A86" s="35"/>
      <c r="B86" s="79"/>
      <c r="C86" s="73"/>
      <c r="D86" s="249"/>
      <c r="E86" s="67">
        <f t="shared" si="27"/>
        <v>0</v>
      </c>
      <c r="F86" s="57"/>
      <c r="G86" s="57"/>
      <c r="H86" s="57"/>
      <c r="I86" s="58"/>
      <c r="J86" s="58"/>
      <c r="K86" s="58"/>
      <c r="L86" s="58"/>
      <c r="M86" s="58"/>
      <c r="N86" s="58"/>
      <c r="O86" s="58"/>
      <c r="P86" s="67">
        <f t="shared" si="28"/>
        <v>0</v>
      </c>
      <c r="Q86" s="57"/>
      <c r="R86" s="57"/>
      <c r="S86" s="57"/>
      <c r="T86" s="58"/>
      <c r="U86" s="58"/>
      <c r="V86" s="58"/>
      <c r="W86" s="58"/>
      <c r="X86" s="58"/>
      <c r="Y86" s="58"/>
      <c r="Z86" s="58"/>
      <c r="AA86" s="67">
        <f t="shared" si="21"/>
        <v>0</v>
      </c>
      <c r="AB86" s="57"/>
      <c r="AC86" s="57"/>
      <c r="AD86" s="57"/>
      <c r="AE86" s="58"/>
      <c r="AF86" s="58"/>
      <c r="AG86" s="58"/>
      <c r="AH86" s="58"/>
      <c r="AI86" s="58"/>
      <c r="AJ86" s="58"/>
      <c r="AK86" s="58"/>
    </row>
    <row r="87" spans="1:38" ht="20.25" hidden="1">
      <c r="A87" s="35"/>
      <c r="B87" s="79"/>
      <c r="C87" s="73"/>
      <c r="D87" s="249"/>
      <c r="E87" s="67">
        <f t="shared" si="27"/>
        <v>0</v>
      </c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67">
        <f t="shared" si="28"/>
        <v>0</v>
      </c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67">
        <f t="shared" si="21"/>
        <v>0</v>
      </c>
      <c r="AB87" s="57"/>
      <c r="AC87" s="57"/>
      <c r="AD87" s="57"/>
      <c r="AE87" s="57"/>
      <c r="AF87" s="57"/>
      <c r="AG87" s="57"/>
      <c r="AH87" s="57"/>
      <c r="AI87" s="57"/>
      <c r="AJ87" s="57"/>
      <c r="AK87" s="57"/>
    </row>
    <row r="88" spans="1:38" ht="20.25">
      <c r="A88" s="35" t="s">
        <v>163</v>
      </c>
      <c r="B88" s="79"/>
      <c r="C88" s="73"/>
      <c r="D88" s="250"/>
      <c r="E88" s="67">
        <f t="shared" si="27"/>
        <v>0</v>
      </c>
      <c r="F88" s="57">
        <f>100-28.4405-4.3-67.2595</f>
        <v>0</v>
      </c>
      <c r="G88" s="57"/>
      <c r="H88" s="57"/>
      <c r="I88" s="57"/>
      <c r="J88" s="57"/>
      <c r="K88" s="57"/>
      <c r="L88" s="57"/>
      <c r="M88" s="57"/>
      <c r="N88" s="57"/>
      <c r="O88" s="57"/>
      <c r="P88" s="67">
        <f t="shared" si="28"/>
        <v>0</v>
      </c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67">
        <f t="shared" si="21"/>
        <v>0</v>
      </c>
      <c r="AB88" s="57"/>
      <c r="AC88" s="57"/>
      <c r="AD88" s="57"/>
      <c r="AE88" s="57"/>
      <c r="AF88" s="57"/>
      <c r="AG88" s="57"/>
      <c r="AH88" s="57"/>
      <c r="AI88" s="57"/>
      <c r="AJ88" s="57"/>
      <c r="AK88" s="57"/>
    </row>
    <row r="89" spans="1:38" s="60" customFormat="1" ht="35.25" customHeight="1">
      <c r="A89" s="1" t="s">
        <v>68</v>
      </c>
      <c r="B89" s="70"/>
      <c r="C89" s="71"/>
      <c r="D89" s="248">
        <v>227</v>
      </c>
      <c r="E89" s="67">
        <f t="shared" si="27"/>
        <v>24.598520000000001</v>
      </c>
      <c r="F89" s="69">
        <f>SUM(F90:F93)</f>
        <v>24.598520000000001</v>
      </c>
      <c r="G89" s="69">
        <f t="shared" ref="G89:O89" si="29">SUM(G90:G93)</f>
        <v>0</v>
      </c>
      <c r="H89" s="69">
        <f t="shared" si="29"/>
        <v>0</v>
      </c>
      <c r="I89" s="69">
        <f t="shared" si="29"/>
        <v>0</v>
      </c>
      <c r="J89" s="69">
        <f t="shared" si="29"/>
        <v>0</v>
      </c>
      <c r="K89" s="69">
        <f t="shared" si="29"/>
        <v>0</v>
      </c>
      <c r="L89" s="69">
        <f t="shared" si="29"/>
        <v>0</v>
      </c>
      <c r="M89" s="69">
        <f t="shared" si="29"/>
        <v>0</v>
      </c>
      <c r="N89" s="69">
        <f t="shared" si="29"/>
        <v>0</v>
      </c>
      <c r="O89" s="69">
        <f t="shared" si="29"/>
        <v>0</v>
      </c>
      <c r="P89" s="67">
        <f t="shared" si="28"/>
        <v>24.598520000000001</v>
      </c>
      <c r="Q89" s="69">
        <f>SUM(Q90:Q93)</f>
        <v>24.598520000000001</v>
      </c>
      <c r="R89" s="69">
        <f t="shared" ref="R89:Z89" si="30">SUM(R90:R93)</f>
        <v>0</v>
      </c>
      <c r="S89" s="69">
        <f t="shared" si="30"/>
        <v>0</v>
      </c>
      <c r="T89" s="69">
        <f t="shared" si="30"/>
        <v>0</v>
      </c>
      <c r="U89" s="69">
        <f t="shared" si="30"/>
        <v>0</v>
      </c>
      <c r="V89" s="69">
        <f t="shared" si="30"/>
        <v>0</v>
      </c>
      <c r="W89" s="69">
        <f t="shared" si="30"/>
        <v>0</v>
      </c>
      <c r="X89" s="69">
        <f t="shared" si="30"/>
        <v>0</v>
      </c>
      <c r="Y89" s="69">
        <f t="shared" si="30"/>
        <v>0</v>
      </c>
      <c r="Z89" s="69">
        <f t="shared" si="30"/>
        <v>0</v>
      </c>
      <c r="AA89" s="67">
        <f t="shared" si="21"/>
        <v>24.598520000000001</v>
      </c>
      <c r="AB89" s="69">
        <f>SUM(AB90:AB93)</f>
        <v>24.598520000000001</v>
      </c>
      <c r="AC89" s="69">
        <f t="shared" ref="AC89:AK89" si="31">SUM(AC90:AC93)</f>
        <v>0</v>
      </c>
      <c r="AD89" s="69">
        <f t="shared" si="31"/>
        <v>0</v>
      </c>
      <c r="AE89" s="69">
        <f t="shared" si="31"/>
        <v>0</v>
      </c>
      <c r="AF89" s="69">
        <f t="shared" si="31"/>
        <v>0</v>
      </c>
      <c r="AG89" s="69">
        <f t="shared" si="31"/>
        <v>0</v>
      </c>
      <c r="AH89" s="69">
        <f t="shared" si="31"/>
        <v>0</v>
      </c>
      <c r="AI89" s="69">
        <f t="shared" si="31"/>
        <v>0</v>
      </c>
      <c r="AJ89" s="69">
        <f t="shared" si="31"/>
        <v>0</v>
      </c>
      <c r="AK89" s="69">
        <f t="shared" si="31"/>
        <v>0</v>
      </c>
    </row>
    <row r="90" spans="1:38" ht="20.25">
      <c r="A90" s="35" t="s">
        <v>69</v>
      </c>
      <c r="B90" s="72"/>
      <c r="C90" s="73"/>
      <c r="D90" s="249"/>
      <c r="E90" s="67">
        <f t="shared" si="27"/>
        <v>24.598520000000001</v>
      </c>
      <c r="F90" s="57">
        <f>16.46568+8.13284</f>
        <v>24.598520000000001</v>
      </c>
      <c r="G90" s="57"/>
      <c r="H90" s="57"/>
      <c r="I90" s="57"/>
      <c r="J90" s="57"/>
      <c r="K90" s="57"/>
      <c r="L90" s="57"/>
      <c r="M90" s="57"/>
      <c r="N90" s="57"/>
      <c r="O90" s="57"/>
      <c r="P90" s="67">
        <f t="shared" si="28"/>
        <v>24.598520000000001</v>
      </c>
      <c r="Q90" s="57">
        <v>24.598520000000001</v>
      </c>
      <c r="R90" s="57"/>
      <c r="S90" s="57"/>
      <c r="T90" s="57"/>
      <c r="U90" s="57"/>
      <c r="V90" s="57"/>
      <c r="W90" s="57"/>
      <c r="X90" s="57"/>
      <c r="Y90" s="57"/>
      <c r="Z90" s="57"/>
      <c r="AA90" s="67">
        <f t="shared" si="21"/>
        <v>24.598520000000001</v>
      </c>
      <c r="AB90" s="57">
        <f>12.56191+3.90377+8.13284</f>
        <v>24.598520000000001</v>
      </c>
      <c r="AC90" s="57"/>
      <c r="AD90" s="57"/>
      <c r="AE90" s="57"/>
      <c r="AF90" s="57"/>
      <c r="AG90" s="57"/>
      <c r="AH90" s="57"/>
      <c r="AI90" s="57"/>
      <c r="AJ90" s="57"/>
      <c r="AK90" s="57"/>
      <c r="AL90" s="190"/>
    </row>
    <row r="91" spans="1:38" ht="20.25" hidden="1">
      <c r="A91" s="31"/>
      <c r="B91" s="72"/>
      <c r="C91" s="73"/>
      <c r="D91" s="249"/>
      <c r="E91" s="67">
        <f t="shared" si="27"/>
        <v>0</v>
      </c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67">
        <f t="shared" si="28"/>
        <v>0</v>
      </c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67">
        <f t="shared" si="21"/>
        <v>0</v>
      </c>
      <c r="AB91" s="57"/>
      <c r="AC91" s="57"/>
      <c r="AD91" s="57"/>
      <c r="AE91" s="57"/>
      <c r="AF91" s="57"/>
      <c r="AG91" s="57"/>
      <c r="AH91" s="57"/>
      <c r="AI91" s="57"/>
      <c r="AJ91" s="57"/>
      <c r="AK91" s="57"/>
    </row>
    <row r="92" spans="1:38" ht="20.25" hidden="1">
      <c r="A92" s="31"/>
      <c r="B92" s="72"/>
      <c r="C92" s="73"/>
      <c r="D92" s="249"/>
      <c r="E92" s="67">
        <f t="shared" si="27"/>
        <v>0</v>
      </c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67">
        <f t="shared" si="28"/>
        <v>0</v>
      </c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67">
        <f t="shared" si="21"/>
        <v>0</v>
      </c>
      <c r="AB92" s="57"/>
      <c r="AC92" s="57"/>
      <c r="AD92" s="57"/>
      <c r="AE92" s="57"/>
      <c r="AF92" s="57"/>
      <c r="AG92" s="57"/>
      <c r="AH92" s="57"/>
      <c r="AI92" s="57"/>
      <c r="AJ92" s="57"/>
      <c r="AK92" s="57"/>
    </row>
    <row r="93" spans="1:38" ht="20.25" hidden="1">
      <c r="A93" s="35"/>
      <c r="B93" s="79"/>
      <c r="C93" s="73"/>
      <c r="D93" s="250"/>
      <c r="E93" s="67">
        <f t="shared" si="27"/>
        <v>0</v>
      </c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67">
        <f t="shared" si="28"/>
        <v>0</v>
      </c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67">
        <f t="shared" ref="AA93:AA156" si="32">AB93+AC93+AD93+AE93+AF93+AG93+AH93+AI93+AJ93+AK93</f>
        <v>0</v>
      </c>
      <c r="AB93" s="57"/>
      <c r="AC93" s="57"/>
      <c r="AD93" s="57"/>
      <c r="AE93" s="57"/>
      <c r="AF93" s="57"/>
      <c r="AG93" s="57"/>
      <c r="AH93" s="57"/>
      <c r="AI93" s="57"/>
      <c r="AJ93" s="57"/>
      <c r="AK93" s="57"/>
    </row>
    <row r="94" spans="1:38" s="60" customFormat="1" ht="20.25" hidden="1">
      <c r="A94" s="27" t="s">
        <v>70</v>
      </c>
      <c r="B94" s="78"/>
      <c r="C94" s="71"/>
      <c r="D94" s="248">
        <v>228</v>
      </c>
      <c r="E94" s="67">
        <f t="shared" si="27"/>
        <v>0</v>
      </c>
      <c r="F94" s="69">
        <f>SUM(F95:F99)</f>
        <v>0</v>
      </c>
      <c r="G94" s="69">
        <f t="shared" ref="G94:AK94" si="33">SUM(G95:G99)</f>
        <v>0</v>
      </c>
      <c r="H94" s="69">
        <f t="shared" si="33"/>
        <v>0</v>
      </c>
      <c r="I94" s="69">
        <f t="shared" si="33"/>
        <v>0</v>
      </c>
      <c r="J94" s="69">
        <f t="shared" si="33"/>
        <v>0</v>
      </c>
      <c r="K94" s="69">
        <f t="shared" si="33"/>
        <v>0</v>
      </c>
      <c r="L94" s="69">
        <f t="shared" si="33"/>
        <v>0</v>
      </c>
      <c r="M94" s="69">
        <f t="shared" si="33"/>
        <v>0</v>
      </c>
      <c r="N94" s="69">
        <f t="shared" si="33"/>
        <v>0</v>
      </c>
      <c r="O94" s="69">
        <f t="shared" si="33"/>
        <v>0</v>
      </c>
      <c r="P94" s="67">
        <f t="shared" si="28"/>
        <v>0</v>
      </c>
      <c r="Q94" s="69">
        <f t="shared" si="33"/>
        <v>0</v>
      </c>
      <c r="R94" s="69">
        <f t="shared" si="33"/>
        <v>0</v>
      </c>
      <c r="S94" s="69">
        <f t="shared" si="33"/>
        <v>0</v>
      </c>
      <c r="T94" s="69">
        <f t="shared" si="33"/>
        <v>0</v>
      </c>
      <c r="U94" s="69">
        <f t="shared" si="33"/>
        <v>0</v>
      </c>
      <c r="V94" s="69">
        <f t="shared" si="33"/>
        <v>0</v>
      </c>
      <c r="W94" s="69">
        <f t="shared" si="33"/>
        <v>0</v>
      </c>
      <c r="X94" s="69">
        <f t="shared" si="33"/>
        <v>0</v>
      </c>
      <c r="Y94" s="69">
        <f t="shared" si="33"/>
        <v>0</v>
      </c>
      <c r="Z94" s="69">
        <f t="shared" si="33"/>
        <v>0</v>
      </c>
      <c r="AA94" s="67">
        <f t="shared" si="32"/>
        <v>0</v>
      </c>
      <c r="AB94" s="69">
        <f t="shared" si="33"/>
        <v>0</v>
      </c>
      <c r="AC94" s="69">
        <f t="shared" si="33"/>
        <v>0</v>
      </c>
      <c r="AD94" s="69">
        <f t="shared" si="33"/>
        <v>0</v>
      </c>
      <c r="AE94" s="69">
        <f t="shared" si="33"/>
        <v>0</v>
      </c>
      <c r="AF94" s="69">
        <f t="shared" si="33"/>
        <v>0</v>
      </c>
      <c r="AG94" s="69">
        <f t="shared" si="33"/>
        <v>0</v>
      </c>
      <c r="AH94" s="69">
        <f t="shared" si="33"/>
        <v>0</v>
      </c>
      <c r="AI94" s="69">
        <f t="shared" si="33"/>
        <v>0</v>
      </c>
      <c r="AJ94" s="69">
        <f t="shared" si="33"/>
        <v>0</v>
      </c>
      <c r="AK94" s="69">
        <f t="shared" si="33"/>
        <v>0</v>
      </c>
    </row>
    <row r="95" spans="1:38" ht="20.25" hidden="1">
      <c r="A95" s="36" t="s">
        <v>71</v>
      </c>
      <c r="B95" s="80"/>
      <c r="C95" s="73"/>
      <c r="D95" s="249"/>
      <c r="E95" s="67">
        <f t="shared" si="27"/>
        <v>0</v>
      </c>
      <c r="F95" s="57"/>
      <c r="G95" s="57"/>
      <c r="H95" s="57"/>
      <c r="I95" s="58"/>
      <c r="J95" s="58"/>
      <c r="K95" s="58"/>
      <c r="L95" s="58"/>
      <c r="M95" s="58"/>
      <c r="N95" s="58"/>
      <c r="O95" s="58"/>
      <c r="P95" s="67">
        <f t="shared" si="28"/>
        <v>0</v>
      </c>
      <c r="Q95" s="57"/>
      <c r="R95" s="57"/>
      <c r="S95" s="57"/>
      <c r="T95" s="58"/>
      <c r="U95" s="58"/>
      <c r="V95" s="58"/>
      <c r="W95" s="58"/>
      <c r="X95" s="58"/>
      <c r="Y95" s="58"/>
      <c r="Z95" s="58"/>
      <c r="AA95" s="67">
        <f t="shared" si="32"/>
        <v>0</v>
      </c>
      <c r="AB95" s="57"/>
      <c r="AC95" s="57"/>
      <c r="AD95" s="57"/>
      <c r="AE95" s="58"/>
      <c r="AF95" s="58"/>
      <c r="AG95" s="58"/>
      <c r="AH95" s="58"/>
      <c r="AI95" s="58"/>
      <c r="AJ95" s="58"/>
      <c r="AK95" s="58"/>
    </row>
    <row r="96" spans="1:38" ht="20.25" hidden="1">
      <c r="A96" s="36"/>
      <c r="B96" s="80"/>
      <c r="C96" s="73"/>
      <c r="D96" s="249"/>
      <c r="E96" s="67">
        <f t="shared" si="27"/>
        <v>0</v>
      </c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67">
        <f t="shared" si="28"/>
        <v>0</v>
      </c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67">
        <f t="shared" si="32"/>
        <v>0</v>
      </c>
      <c r="AB96" s="57"/>
      <c r="AC96" s="57"/>
      <c r="AD96" s="57"/>
      <c r="AE96" s="57"/>
      <c r="AF96" s="57"/>
      <c r="AG96" s="57"/>
      <c r="AH96" s="57"/>
      <c r="AI96" s="57"/>
      <c r="AJ96" s="57"/>
      <c r="AK96" s="57"/>
    </row>
    <row r="97" spans="1:38" ht="20.25" hidden="1">
      <c r="A97" s="36"/>
      <c r="B97" s="80"/>
      <c r="C97" s="73"/>
      <c r="D97" s="249"/>
      <c r="E97" s="67">
        <f t="shared" si="27"/>
        <v>0</v>
      </c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67">
        <f t="shared" si="28"/>
        <v>0</v>
      </c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67">
        <f t="shared" si="32"/>
        <v>0</v>
      </c>
      <c r="AB97" s="57"/>
      <c r="AC97" s="57"/>
      <c r="AD97" s="57"/>
      <c r="AE97" s="57"/>
      <c r="AF97" s="57"/>
      <c r="AG97" s="57"/>
      <c r="AH97" s="57"/>
      <c r="AI97" s="57"/>
      <c r="AJ97" s="57"/>
      <c r="AK97" s="57"/>
    </row>
    <row r="98" spans="1:38" ht="20.25" hidden="1">
      <c r="A98" s="36"/>
      <c r="B98" s="80"/>
      <c r="C98" s="73"/>
      <c r="D98" s="249"/>
      <c r="E98" s="67">
        <f t="shared" si="27"/>
        <v>0</v>
      </c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67">
        <f t="shared" si="28"/>
        <v>0</v>
      </c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67">
        <f t="shared" si="32"/>
        <v>0</v>
      </c>
      <c r="AB98" s="57"/>
      <c r="AC98" s="57"/>
      <c r="AD98" s="57"/>
      <c r="AE98" s="57"/>
      <c r="AF98" s="57"/>
      <c r="AG98" s="57"/>
      <c r="AH98" s="57"/>
      <c r="AI98" s="57"/>
      <c r="AJ98" s="57"/>
      <c r="AK98" s="57"/>
    </row>
    <row r="99" spans="1:38" s="135" customFormat="1" ht="20.25" hidden="1">
      <c r="A99" s="114" t="s">
        <v>42</v>
      </c>
      <c r="B99" s="114"/>
      <c r="C99" s="114"/>
      <c r="D99" s="249"/>
      <c r="E99" s="67">
        <f t="shared" si="27"/>
        <v>0</v>
      </c>
      <c r="F99" s="134">
        <f>SUM(F100:F104)</f>
        <v>0</v>
      </c>
      <c r="G99" s="134">
        <f t="shared" ref="G99:AJ99" si="34">SUM(G100:G104)</f>
        <v>0</v>
      </c>
      <c r="H99" s="134">
        <f t="shared" si="34"/>
        <v>0</v>
      </c>
      <c r="I99" s="134">
        <f t="shared" si="34"/>
        <v>0</v>
      </c>
      <c r="J99" s="134">
        <f t="shared" si="34"/>
        <v>0</v>
      </c>
      <c r="K99" s="134">
        <f t="shared" si="34"/>
        <v>0</v>
      </c>
      <c r="L99" s="134">
        <f t="shared" si="34"/>
        <v>0</v>
      </c>
      <c r="M99" s="134">
        <f t="shared" si="34"/>
        <v>0</v>
      </c>
      <c r="N99" s="134">
        <f t="shared" si="34"/>
        <v>0</v>
      </c>
      <c r="O99" s="134">
        <f t="shared" si="34"/>
        <v>0</v>
      </c>
      <c r="P99" s="67">
        <f t="shared" si="28"/>
        <v>0</v>
      </c>
      <c r="Q99" s="134">
        <f t="shared" si="34"/>
        <v>0</v>
      </c>
      <c r="R99" s="134">
        <f t="shared" si="34"/>
        <v>0</v>
      </c>
      <c r="S99" s="134">
        <f t="shared" si="34"/>
        <v>0</v>
      </c>
      <c r="T99" s="134">
        <f t="shared" si="34"/>
        <v>0</v>
      </c>
      <c r="U99" s="134">
        <f t="shared" si="34"/>
        <v>0</v>
      </c>
      <c r="V99" s="134">
        <f t="shared" si="34"/>
        <v>0</v>
      </c>
      <c r="W99" s="134">
        <f t="shared" si="34"/>
        <v>0</v>
      </c>
      <c r="X99" s="134">
        <f t="shared" si="34"/>
        <v>0</v>
      </c>
      <c r="Y99" s="134">
        <f t="shared" si="34"/>
        <v>0</v>
      </c>
      <c r="Z99" s="134">
        <f t="shared" si="34"/>
        <v>0</v>
      </c>
      <c r="AA99" s="67">
        <f t="shared" si="32"/>
        <v>0</v>
      </c>
      <c r="AB99" s="134">
        <f t="shared" si="34"/>
        <v>0</v>
      </c>
      <c r="AC99" s="134">
        <f t="shared" si="34"/>
        <v>0</v>
      </c>
      <c r="AD99" s="134">
        <f t="shared" si="34"/>
        <v>0</v>
      </c>
      <c r="AE99" s="134">
        <f t="shared" si="34"/>
        <v>0</v>
      </c>
      <c r="AF99" s="134">
        <f t="shared" si="34"/>
        <v>0</v>
      </c>
      <c r="AG99" s="134">
        <f t="shared" si="34"/>
        <v>0</v>
      </c>
      <c r="AH99" s="134">
        <f t="shared" si="34"/>
        <v>0</v>
      </c>
      <c r="AI99" s="134">
        <f t="shared" si="34"/>
        <v>0</v>
      </c>
      <c r="AJ99" s="134">
        <f t="shared" si="34"/>
        <v>0</v>
      </c>
      <c r="AK99" s="134">
        <f>SUM(AK100:AK104)</f>
        <v>0</v>
      </c>
    </row>
    <row r="100" spans="1:38" ht="20.25" hidden="1">
      <c r="A100" s="79" t="s">
        <v>72</v>
      </c>
      <c r="B100" s="79"/>
      <c r="C100" s="73"/>
      <c r="D100" s="249"/>
      <c r="E100" s="67">
        <f t="shared" si="27"/>
        <v>0</v>
      </c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67">
        <f t="shared" si="28"/>
        <v>0</v>
      </c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67">
        <f t="shared" si="32"/>
        <v>0</v>
      </c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</row>
    <row r="101" spans="1:38" ht="20.25" hidden="1">
      <c r="A101" s="79" t="s">
        <v>73</v>
      </c>
      <c r="B101" s="79"/>
      <c r="C101" s="73"/>
      <c r="D101" s="249"/>
      <c r="E101" s="67">
        <f t="shared" si="27"/>
        <v>0</v>
      </c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67">
        <f t="shared" si="28"/>
        <v>0</v>
      </c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67">
        <f t="shared" si="32"/>
        <v>0</v>
      </c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</row>
    <row r="102" spans="1:38" ht="20.25" hidden="1">
      <c r="A102" s="79" t="s">
        <v>74</v>
      </c>
      <c r="B102" s="79"/>
      <c r="C102" s="73"/>
      <c r="D102" s="249"/>
      <c r="E102" s="67">
        <f t="shared" si="27"/>
        <v>0</v>
      </c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67">
        <f t="shared" si="28"/>
        <v>0</v>
      </c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67">
        <f t="shared" si="32"/>
        <v>0</v>
      </c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</row>
    <row r="103" spans="1:38" ht="20.25" hidden="1">
      <c r="A103" s="79" t="s">
        <v>75</v>
      </c>
      <c r="B103" s="79"/>
      <c r="C103" s="73"/>
      <c r="D103" s="249"/>
      <c r="E103" s="67">
        <f t="shared" si="27"/>
        <v>0</v>
      </c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67">
        <f t="shared" si="28"/>
        <v>0</v>
      </c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67">
        <f t="shared" si="32"/>
        <v>0</v>
      </c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</row>
    <row r="104" spans="1:38" ht="20.25" hidden="1">
      <c r="A104" s="79" t="s">
        <v>76</v>
      </c>
      <c r="B104" s="79"/>
      <c r="C104" s="73"/>
      <c r="D104" s="250"/>
      <c r="E104" s="67">
        <f t="shared" si="27"/>
        <v>0</v>
      </c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67">
        <f t="shared" si="28"/>
        <v>0</v>
      </c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67">
        <f t="shared" si="32"/>
        <v>0</v>
      </c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</row>
    <row r="105" spans="1:38" s="64" customFormat="1" ht="20.25">
      <c r="A105" s="55" t="s">
        <v>77</v>
      </c>
      <c r="B105" s="75"/>
      <c r="C105" s="75">
        <v>260</v>
      </c>
      <c r="D105" s="75"/>
      <c r="E105" s="67">
        <f t="shared" si="27"/>
        <v>81.951070000000001</v>
      </c>
      <c r="F105" s="88">
        <f>F106+F111</f>
        <v>81.951070000000001</v>
      </c>
      <c r="G105" s="88">
        <f t="shared" ref="G105:O105" si="35">G106+G111</f>
        <v>0</v>
      </c>
      <c r="H105" s="88">
        <f t="shared" si="35"/>
        <v>0</v>
      </c>
      <c r="I105" s="88">
        <f t="shared" si="35"/>
        <v>0</v>
      </c>
      <c r="J105" s="88">
        <f t="shared" si="35"/>
        <v>0</v>
      </c>
      <c r="K105" s="88">
        <f t="shared" si="35"/>
        <v>0</v>
      </c>
      <c r="L105" s="88">
        <f t="shared" si="35"/>
        <v>0</v>
      </c>
      <c r="M105" s="88">
        <f t="shared" si="35"/>
        <v>0</v>
      </c>
      <c r="N105" s="88">
        <f t="shared" si="35"/>
        <v>0</v>
      </c>
      <c r="O105" s="88">
        <f t="shared" si="35"/>
        <v>0</v>
      </c>
      <c r="P105" s="67">
        <f t="shared" si="28"/>
        <v>81.951069999999987</v>
      </c>
      <c r="Q105" s="88">
        <f>Q106+Q111</f>
        <v>81.951069999999987</v>
      </c>
      <c r="R105" s="88">
        <f t="shared" ref="R105:Z105" si="36">R106+R111</f>
        <v>0</v>
      </c>
      <c r="S105" s="88">
        <f t="shared" si="36"/>
        <v>0</v>
      </c>
      <c r="T105" s="88">
        <f t="shared" si="36"/>
        <v>0</v>
      </c>
      <c r="U105" s="88">
        <f t="shared" si="36"/>
        <v>0</v>
      </c>
      <c r="V105" s="88">
        <f t="shared" si="36"/>
        <v>0</v>
      </c>
      <c r="W105" s="88">
        <f t="shared" si="36"/>
        <v>0</v>
      </c>
      <c r="X105" s="88">
        <f t="shared" si="36"/>
        <v>0</v>
      </c>
      <c r="Y105" s="88">
        <f t="shared" si="36"/>
        <v>0</v>
      </c>
      <c r="Z105" s="88">
        <f t="shared" si="36"/>
        <v>0</v>
      </c>
      <c r="AA105" s="67">
        <f t="shared" si="32"/>
        <v>81.951070000000001</v>
      </c>
      <c r="AB105" s="88">
        <f>AB106+AB111</f>
        <v>81.951070000000001</v>
      </c>
      <c r="AC105" s="88">
        <f t="shared" ref="AC105:AK105" si="37">AC106+AC111</f>
        <v>0</v>
      </c>
      <c r="AD105" s="88">
        <f t="shared" si="37"/>
        <v>0</v>
      </c>
      <c r="AE105" s="88">
        <f t="shared" si="37"/>
        <v>0</v>
      </c>
      <c r="AF105" s="88">
        <f t="shared" si="37"/>
        <v>0</v>
      </c>
      <c r="AG105" s="88">
        <f t="shared" si="37"/>
        <v>0</v>
      </c>
      <c r="AH105" s="88">
        <f t="shared" si="37"/>
        <v>0</v>
      </c>
      <c r="AI105" s="88">
        <f t="shared" si="37"/>
        <v>0</v>
      </c>
      <c r="AJ105" s="88">
        <f t="shared" si="37"/>
        <v>0</v>
      </c>
      <c r="AK105" s="88">
        <f t="shared" si="37"/>
        <v>0</v>
      </c>
    </row>
    <row r="106" spans="1:38" s="60" customFormat="1" ht="23.25" hidden="1" customHeight="1">
      <c r="A106" s="27" t="s">
        <v>78</v>
      </c>
      <c r="B106" s="78"/>
      <c r="C106" s="71"/>
      <c r="D106" s="248">
        <v>262</v>
      </c>
      <c r="E106" s="67">
        <f t="shared" si="27"/>
        <v>0</v>
      </c>
      <c r="F106" s="69">
        <f>SUM(F107:F110)</f>
        <v>0</v>
      </c>
      <c r="G106" s="69">
        <f t="shared" ref="G106:O106" si="38">SUM(G107:G110)</f>
        <v>0</v>
      </c>
      <c r="H106" s="69">
        <f t="shared" si="38"/>
        <v>0</v>
      </c>
      <c r="I106" s="69">
        <f t="shared" si="38"/>
        <v>0</v>
      </c>
      <c r="J106" s="69">
        <f t="shared" si="38"/>
        <v>0</v>
      </c>
      <c r="K106" s="69">
        <f t="shared" si="38"/>
        <v>0</v>
      </c>
      <c r="L106" s="69">
        <f t="shared" si="38"/>
        <v>0</v>
      </c>
      <c r="M106" s="69">
        <f t="shared" si="38"/>
        <v>0</v>
      </c>
      <c r="N106" s="69">
        <f t="shared" si="38"/>
        <v>0</v>
      </c>
      <c r="O106" s="69">
        <f t="shared" si="38"/>
        <v>0</v>
      </c>
      <c r="P106" s="67">
        <f t="shared" si="28"/>
        <v>0</v>
      </c>
      <c r="Q106" s="69">
        <f>SUM(Q107:Q110)</f>
        <v>0</v>
      </c>
      <c r="R106" s="69">
        <f t="shared" ref="R106:Z106" si="39">SUM(R107:R110)</f>
        <v>0</v>
      </c>
      <c r="S106" s="69">
        <f t="shared" si="39"/>
        <v>0</v>
      </c>
      <c r="T106" s="69">
        <f t="shared" si="39"/>
        <v>0</v>
      </c>
      <c r="U106" s="69">
        <f t="shared" si="39"/>
        <v>0</v>
      </c>
      <c r="V106" s="69">
        <f t="shared" si="39"/>
        <v>0</v>
      </c>
      <c r="W106" s="69">
        <f t="shared" si="39"/>
        <v>0</v>
      </c>
      <c r="X106" s="69">
        <f t="shared" si="39"/>
        <v>0</v>
      </c>
      <c r="Y106" s="69">
        <f t="shared" si="39"/>
        <v>0</v>
      </c>
      <c r="Z106" s="69">
        <f t="shared" si="39"/>
        <v>0</v>
      </c>
      <c r="AA106" s="67">
        <f t="shared" si="32"/>
        <v>0</v>
      </c>
      <c r="AB106" s="69">
        <f>SUM(AB107:AB110)</f>
        <v>0</v>
      </c>
      <c r="AC106" s="69">
        <f t="shared" ref="AC106:AK106" si="40">SUM(AC107:AC110)</f>
        <v>0</v>
      </c>
      <c r="AD106" s="69">
        <f t="shared" si="40"/>
        <v>0</v>
      </c>
      <c r="AE106" s="69">
        <f t="shared" si="40"/>
        <v>0</v>
      </c>
      <c r="AF106" s="69">
        <f t="shared" si="40"/>
        <v>0</v>
      </c>
      <c r="AG106" s="69">
        <f t="shared" si="40"/>
        <v>0</v>
      </c>
      <c r="AH106" s="69">
        <f t="shared" si="40"/>
        <v>0</v>
      </c>
      <c r="AI106" s="69">
        <f t="shared" si="40"/>
        <v>0</v>
      </c>
      <c r="AJ106" s="69">
        <f t="shared" si="40"/>
        <v>0</v>
      </c>
      <c r="AK106" s="69">
        <f t="shared" si="40"/>
        <v>0</v>
      </c>
    </row>
    <row r="107" spans="1:38" ht="20.25" hidden="1">
      <c r="A107" s="36"/>
      <c r="B107" s="83"/>
      <c r="C107" s="73"/>
      <c r="D107" s="249"/>
      <c r="E107" s="67">
        <f t="shared" si="27"/>
        <v>0</v>
      </c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67">
        <f t="shared" si="28"/>
        <v>0</v>
      </c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67">
        <f t="shared" si="32"/>
        <v>0</v>
      </c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</row>
    <row r="108" spans="1:38" ht="20.25" hidden="1">
      <c r="A108" s="40"/>
      <c r="B108" s="83"/>
      <c r="C108" s="73"/>
      <c r="D108" s="249"/>
      <c r="E108" s="67">
        <f t="shared" si="27"/>
        <v>0</v>
      </c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67">
        <f t="shared" si="28"/>
        <v>0</v>
      </c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67">
        <f t="shared" si="32"/>
        <v>0</v>
      </c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</row>
    <row r="109" spans="1:38" ht="20.25" hidden="1">
      <c r="A109" s="40"/>
      <c r="B109" s="83"/>
      <c r="C109" s="73"/>
      <c r="D109" s="249"/>
      <c r="E109" s="67">
        <f t="shared" si="27"/>
        <v>0</v>
      </c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67">
        <f t="shared" si="28"/>
        <v>0</v>
      </c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67">
        <f t="shared" si="32"/>
        <v>0</v>
      </c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</row>
    <row r="110" spans="1:38" ht="20.25" hidden="1">
      <c r="A110" s="36"/>
      <c r="B110" s="80"/>
      <c r="C110" s="73"/>
      <c r="D110" s="250"/>
      <c r="E110" s="67">
        <f t="shared" si="27"/>
        <v>0</v>
      </c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67">
        <f t="shared" si="28"/>
        <v>0</v>
      </c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67">
        <f t="shared" si="32"/>
        <v>0</v>
      </c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</row>
    <row r="111" spans="1:38" s="60" customFormat="1" ht="20.25">
      <c r="A111" s="27" t="s">
        <v>79</v>
      </c>
      <c r="B111" s="78"/>
      <c r="C111" s="71"/>
      <c r="D111" s="248">
        <v>266</v>
      </c>
      <c r="E111" s="67">
        <f t="shared" si="27"/>
        <v>81.951070000000001</v>
      </c>
      <c r="F111" s="69">
        <f>SUM(F112:F117)</f>
        <v>81.951070000000001</v>
      </c>
      <c r="G111" s="69">
        <f t="shared" ref="G111:O111" si="41">SUM(G112:G117)</f>
        <v>0</v>
      </c>
      <c r="H111" s="69">
        <f t="shared" si="41"/>
        <v>0</v>
      </c>
      <c r="I111" s="69">
        <f t="shared" si="41"/>
        <v>0</v>
      </c>
      <c r="J111" s="69">
        <f t="shared" si="41"/>
        <v>0</v>
      </c>
      <c r="K111" s="69">
        <f t="shared" si="41"/>
        <v>0</v>
      </c>
      <c r="L111" s="69">
        <f t="shared" si="41"/>
        <v>0</v>
      </c>
      <c r="M111" s="69">
        <f t="shared" si="41"/>
        <v>0</v>
      </c>
      <c r="N111" s="69">
        <f t="shared" si="41"/>
        <v>0</v>
      </c>
      <c r="O111" s="69">
        <f t="shared" si="41"/>
        <v>0</v>
      </c>
      <c r="P111" s="67">
        <f t="shared" si="28"/>
        <v>81.951069999999987</v>
      </c>
      <c r="Q111" s="69">
        <f>SUM(Q112:Q117)</f>
        <v>81.951069999999987</v>
      </c>
      <c r="R111" s="69">
        <f t="shared" ref="R111:Z111" si="42">SUM(R112:R117)</f>
        <v>0</v>
      </c>
      <c r="S111" s="69">
        <f t="shared" si="42"/>
        <v>0</v>
      </c>
      <c r="T111" s="69">
        <f t="shared" si="42"/>
        <v>0</v>
      </c>
      <c r="U111" s="69">
        <f t="shared" si="42"/>
        <v>0</v>
      </c>
      <c r="V111" s="69">
        <f t="shared" si="42"/>
        <v>0</v>
      </c>
      <c r="W111" s="69">
        <f t="shared" si="42"/>
        <v>0</v>
      </c>
      <c r="X111" s="69">
        <f t="shared" si="42"/>
        <v>0</v>
      </c>
      <c r="Y111" s="69">
        <f t="shared" si="42"/>
        <v>0</v>
      </c>
      <c r="Z111" s="69">
        <f t="shared" si="42"/>
        <v>0</v>
      </c>
      <c r="AA111" s="67">
        <f t="shared" si="32"/>
        <v>81.951070000000001</v>
      </c>
      <c r="AB111" s="69">
        <f>SUM(AB112:AB117)</f>
        <v>81.951070000000001</v>
      </c>
      <c r="AC111" s="69">
        <f t="shared" ref="AC111:AK111" si="43">SUM(AC112:AC117)</f>
        <v>0</v>
      </c>
      <c r="AD111" s="69">
        <f t="shared" si="43"/>
        <v>0</v>
      </c>
      <c r="AE111" s="69">
        <f t="shared" si="43"/>
        <v>0</v>
      </c>
      <c r="AF111" s="69">
        <f t="shared" si="43"/>
        <v>0</v>
      </c>
      <c r="AG111" s="69">
        <f t="shared" si="43"/>
        <v>0</v>
      </c>
      <c r="AH111" s="69">
        <f t="shared" si="43"/>
        <v>0</v>
      </c>
      <c r="AI111" s="69">
        <f t="shared" si="43"/>
        <v>0</v>
      </c>
      <c r="AJ111" s="69">
        <f t="shared" si="43"/>
        <v>0</v>
      </c>
      <c r="AK111" s="69">
        <f t="shared" si="43"/>
        <v>0</v>
      </c>
      <c r="AL111" s="193"/>
    </row>
    <row r="112" spans="1:38" ht="31.5">
      <c r="A112" s="36" t="s">
        <v>80</v>
      </c>
      <c r="B112" s="80"/>
      <c r="C112" s="73"/>
      <c r="D112" s="249"/>
      <c r="E112" s="67">
        <f t="shared" si="27"/>
        <v>81.351070000000007</v>
      </c>
      <c r="F112" s="57">
        <v>81.351070000000007</v>
      </c>
      <c r="G112" s="57"/>
      <c r="H112" s="57"/>
      <c r="I112" s="57"/>
      <c r="J112" s="57"/>
      <c r="K112" s="57"/>
      <c r="L112" s="57"/>
      <c r="M112" s="57"/>
      <c r="N112" s="57"/>
      <c r="O112" s="57"/>
      <c r="P112" s="67">
        <f t="shared" si="28"/>
        <v>81.351069999999993</v>
      </c>
      <c r="Q112" s="57">
        <f>5.7+8.7+5.2+9.4+1.8+1.2+0.7+0.9+1.4+3.3+0+8+20.8+4.88662+9.36445</f>
        <v>81.351069999999993</v>
      </c>
      <c r="R112" s="57"/>
      <c r="S112" s="57"/>
      <c r="T112" s="57"/>
      <c r="U112" s="57"/>
      <c r="V112" s="57"/>
      <c r="W112" s="57"/>
      <c r="X112" s="57"/>
      <c r="Y112" s="57"/>
      <c r="Z112" s="57"/>
      <c r="AA112" s="67">
        <f t="shared" si="32"/>
        <v>81.351070000000007</v>
      </c>
      <c r="AB112" s="57">
        <f>4.95786+0.742+8.6151+5.16831+8.51296+0.83+1.83471+1.19637+0.62481+0.093+0.73085+0.109+1.42428+2.87205+0.429+0+7.96728+20.76699+4.98057+9.49593</f>
        <v>81.351070000000007</v>
      </c>
      <c r="AC112" s="57"/>
      <c r="AD112" s="57"/>
      <c r="AE112" s="57"/>
      <c r="AF112" s="57"/>
      <c r="AG112" s="57"/>
      <c r="AH112" s="57"/>
      <c r="AI112" s="57"/>
      <c r="AJ112" s="57"/>
      <c r="AK112" s="57"/>
      <c r="AL112" s="190"/>
    </row>
    <row r="113" spans="1:38" ht="47.25">
      <c r="A113" s="36" t="s">
        <v>81</v>
      </c>
      <c r="B113" s="80"/>
      <c r="C113" s="73"/>
      <c r="D113" s="249"/>
      <c r="E113" s="67">
        <f t="shared" si="27"/>
        <v>0.6</v>
      </c>
      <c r="F113" s="57">
        <v>0.6</v>
      </c>
      <c r="G113" s="57"/>
      <c r="H113" s="57"/>
      <c r="I113" s="57"/>
      <c r="J113" s="57"/>
      <c r="K113" s="57"/>
      <c r="L113" s="57"/>
      <c r="M113" s="57"/>
      <c r="N113" s="57"/>
      <c r="O113" s="57"/>
      <c r="P113" s="67">
        <f t="shared" si="28"/>
        <v>0.6</v>
      </c>
      <c r="Q113" s="57">
        <f>0.1+0.1+0.1+0.1+0.1+0.1</f>
        <v>0.6</v>
      </c>
      <c r="R113" s="57"/>
      <c r="S113" s="57"/>
      <c r="T113" s="57"/>
      <c r="U113" s="57"/>
      <c r="V113" s="57"/>
      <c r="W113" s="57"/>
      <c r="X113" s="57"/>
      <c r="Y113" s="57"/>
      <c r="Z113" s="57"/>
      <c r="AA113" s="67">
        <f t="shared" si="32"/>
        <v>0.6</v>
      </c>
      <c r="AB113" s="57">
        <f>0.05+0.05+0.1+0.05+0.05+0.05+0.05+0.05+0.05+0.1</f>
        <v>0.6</v>
      </c>
      <c r="AC113" s="57"/>
      <c r="AD113" s="57"/>
      <c r="AE113" s="57"/>
      <c r="AF113" s="57"/>
      <c r="AG113" s="57"/>
      <c r="AH113" s="57"/>
      <c r="AI113" s="57"/>
      <c r="AJ113" s="57"/>
      <c r="AK113" s="57"/>
      <c r="AL113" s="190"/>
    </row>
    <row r="114" spans="1:38" ht="47.25" hidden="1">
      <c r="A114" s="36" t="s">
        <v>82</v>
      </c>
      <c r="B114" s="80"/>
      <c r="C114" s="73"/>
      <c r="D114" s="249"/>
      <c r="E114" s="67">
        <f t="shared" si="27"/>
        <v>0</v>
      </c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67">
        <f t="shared" si="28"/>
        <v>0</v>
      </c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67">
        <f t="shared" si="32"/>
        <v>0</v>
      </c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</row>
    <row r="115" spans="1:38" ht="20.25" hidden="1">
      <c r="A115" s="36"/>
      <c r="B115" s="80"/>
      <c r="C115" s="73"/>
      <c r="D115" s="249"/>
      <c r="E115" s="67">
        <f t="shared" si="27"/>
        <v>0</v>
      </c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67">
        <f t="shared" si="28"/>
        <v>0</v>
      </c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67">
        <f t="shared" si="32"/>
        <v>0</v>
      </c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</row>
    <row r="116" spans="1:38" ht="20.25" hidden="1">
      <c r="A116" s="36"/>
      <c r="B116" s="80"/>
      <c r="C116" s="73"/>
      <c r="D116" s="249"/>
      <c r="E116" s="67">
        <f t="shared" si="27"/>
        <v>0</v>
      </c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67">
        <f t="shared" si="28"/>
        <v>0</v>
      </c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67">
        <f t="shared" si="32"/>
        <v>0</v>
      </c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</row>
    <row r="117" spans="1:38" ht="20.25" hidden="1">
      <c r="A117" s="36"/>
      <c r="B117" s="80"/>
      <c r="C117" s="73"/>
      <c r="D117" s="250"/>
      <c r="E117" s="67">
        <f t="shared" si="27"/>
        <v>0</v>
      </c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67">
        <f t="shared" si="28"/>
        <v>0</v>
      </c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67">
        <f t="shared" si="32"/>
        <v>0</v>
      </c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</row>
    <row r="118" spans="1:38" s="64" customFormat="1" ht="20.25">
      <c r="A118" s="55" t="s">
        <v>83</v>
      </c>
      <c r="B118" s="75"/>
      <c r="C118" s="75">
        <v>290</v>
      </c>
      <c r="D118" s="75"/>
      <c r="E118" s="67">
        <f t="shared" si="27"/>
        <v>1462.3829999999998</v>
      </c>
      <c r="F118" s="88">
        <f>F119+F128+F129+F130+F134</f>
        <v>1462.3829999999998</v>
      </c>
      <c r="G118" s="88">
        <f t="shared" ref="G118:O118" si="44">G119+G128+G129+G130</f>
        <v>0</v>
      </c>
      <c r="H118" s="88">
        <f t="shared" si="44"/>
        <v>0</v>
      </c>
      <c r="I118" s="88">
        <f t="shared" si="44"/>
        <v>0</v>
      </c>
      <c r="J118" s="88">
        <f t="shared" si="44"/>
        <v>0</v>
      </c>
      <c r="K118" s="88">
        <f t="shared" si="44"/>
        <v>0</v>
      </c>
      <c r="L118" s="88">
        <f t="shared" si="44"/>
        <v>0</v>
      </c>
      <c r="M118" s="88">
        <f t="shared" si="44"/>
        <v>0</v>
      </c>
      <c r="N118" s="88">
        <f t="shared" si="44"/>
        <v>0</v>
      </c>
      <c r="O118" s="88">
        <f t="shared" si="44"/>
        <v>0</v>
      </c>
      <c r="P118" s="67">
        <f t="shared" si="28"/>
        <v>1462.3829999999998</v>
      </c>
      <c r="Q118" s="88">
        <f>Q119+Q128+Q129+Q130+Q134</f>
        <v>1462.3829999999998</v>
      </c>
      <c r="R118" s="88">
        <f t="shared" ref="R118:Z118" si="45">R119+R128+R129+R130</f>
        <v>0</v>
      </c>
      <c r="S118" s="88">
        <f t="shared" si="45"/>
        <v>0</v>
      </c>
      <c r="T118" s="88">
        <f t="shared" si="45"/>
        <v>0</v>
      </c>
      <c r="U118" s="88">
        <f t="shared" si="45"/>
        <v>0</v>
      </c>
      <c r="V118" s="88">
        <f t="shared" si="45"/>
        <v>0</v>
      </c>
      <c r="W118" s="88">
        <f t="shared" si="45"/>
        <v>0</v>
      </c>
      <c r="X118" s="88">
        <f t="shared" si="45"/>
        <v>0</v>
      </c>
      <c r="Y118" s="88">
        <f t="shared" si="45"/>
        <v>0</v>
      </c>
      <c r="Z118" s="88">
        <f t="shared" si="45"/>
        <v>0</v>
      </c>
      <c r="AA118" s="67">
        <f t="shared" si="32"/>
        <v>1462.3829999999998</v>
      </c>
      <c r="AB118" s="88">
        <f>AB119+AB128+AB129+AB130+AB134</f>
        <v>1462.3829999999998</v>
      </c>
      <c r="AC118" s="88">
        <f t="shared" ref="AC118:AK118" si="46">AC119+AC128+AC129+AC130</f>
        <v>0</v>
      </c>
      <c r="AD118" s="88">
        <f t="shared" si="46"/>
        <v>0</v>
      </c>
      <c r="AE118" s="88">
        <f t="shared" si="46"/>
        <v>0</v>
      </c>
      <c r="AF118" s="88">
        <f t="shared" si="46"/>
        <v>0</v>
      </c>
      <c r="AG118" s="88">
        <f t="shared" si="46"/>
        <v>0</v>
      </c>
      <c r="AH118" s="88">
        <f t="shared" si="46"/>
        <v>0</v>
      </c>
      <c r="AI118" s="88">
        <f t="shared" si="46"/>
        <v>0</v>
      </c>
      <c r="AJ118" s="88">
        <f t="shared" si="46"/>
        <v>0</v>
      </c>
      <c r="AK118" s="88">
        <f t="shared" si="46"/>
        <v>0</v>
      </c>
    </row>
    <row r="119" spans="1:38" s="60" customFormat="1" ht="20.25">
      <c r="A119" s="27" t="s">
        <v>84</v>
      </c>
      <c r="B119" s="78"/>
      <c r="C119" s="71"/>
      <c r="D119" s="248">
        <v>291</v>
      </c>
      <c r="E119" s="67">
        <f t="shared" si="27"/>
        <v>1462.3829999999998</v>
      </c>
      <c r="F119" s="69">
        <f>SUM(F120:F127)</f>
        <v>1462.3829999999998</v>
      </c>
      <c r="G119" s="69">
        <f t="shared" ref="G119:O119" si="47">SUM(G120:G127)</f>
        <v>0</v>
      </c>
      <c r="H119" s="69">
        <f t="shared" si="47"/>
        <v>0</v>
      </c>
      <c r="I119" s="69">
        <f t="shared" si="47"/>
        <v>0</v>
      </c>
      <c r="J119" s="69">
        <f t="shared" si="47"/>
        <v>0</v>
      </c>
      <c r="K119" s="69">
        <f t="shared" si="47"/>
        <v>0</v>
      </c>
      <c r="L119" s="69">
        <f t="shared" si="47"/>
        <v>0</v>
      </c>
      <c r="M119" s="69">
        <f t="shared" si="47"/>
        <v>0</v>
      </c>
      <c r="N119" s="69">
        <f t="shared" si="47"/>
        <v>0</v>
      </c>
      <c r="O119" s="69">
        <f t="shared" si="47"/>
        <v>0</v>
      </c>
      <c r="P119" s="67">
        <f t="shared" si="28"/>
        <v>1462.3829999999998</v>
      </c>
      <c r="Q119" s="69">
        <f>SUM(Q120:Q127)</f>
        <v>1462.3829999999998</v>
      </c>
      <c r="R119" s="69">
        <f t="shared" ref="R119:Z119" si="48">SUM(R120:R127)</f>
        <v>0</v>
      </c>
      <c r="S119" s="69">
        <f t="shared" si="48"/>
        <v>0</v>
      </c>
      <c r="T119" s="69">
        <f t="shared" si="48"/>
        <v>0</v>
      </c>
      <c r="U119" s="69">
        <f t="shared" si="48"/>
        <v>0</v>
      </c>
      <c r="V119" s="69">
        <f t="shared" si="48"/>
        <v>0</v>
      </c>
      <c r="W119" s="69">
        <f t="shared" si="48"/>
        <v>0</v>
      </c>
      <c r="X119" s="69">
        <f t="shared" si="48"/>
        <v>0</v>
      </c>
      <c r="Y119" s="69">
        <f t="shared" si="48"/>
        <v>0</v>
      </c>
      <c r="Z119" s="69">
        <f t="shared" si="48"/>
        <v>0</v>
      </c>
      <c r="AA119" s="67">
        <f t="shared" si="32"/>
        <v>1462.3829999999998</v>
      </c>
      <c r="AB119" s="69">
        <f>SUM(AB120:AB127)</f>
        <v>1462.3829999999998</v>
      </c>
      <c r="AC119" s="69">
        <f t="shared" ref="AC119:AK119" si="49">SUM(AC120:AC127)</f>
        <v>0</v>
      </c>
      <c r="AD119" s="69">
        <f t="shared" si="49"/>
        <v>0</v>
      </c>
      <c r="AE119" s="69">
        <f t="shared" si="49"/>
        <v>0</v>
      </c>
      <c r="AF119" s="69">
        <f t="shared" si="49"/>
        <v>0</v>
      </c>
      <c r="AG119" s="69">
        <f t="shared" si="49"/>
        <v>0</v>
      </c>
      <c r="AH119" s="69">
        <f t="shared" si="49"/>
        <v>0</v>
      </c>
      <c r="AI119" s="69">
        <f t="shared" si="49"/>
        <v>0</v>
      </c>
      <c r="AJ119" s="69">
        <f t="shared" si="49"/>
        <v>0</v>
      </c>
      <c r="AK119" s="69">
        <f t="shared" si="49"/>
        <v>0</v>
      </c>
    </row>
    <row r="120" spans="1:38" ht="20.25">
      <c r="A120" s="35" t="s">
        <v>85</v>
      </c>
      <c r="B120" s="79"/>
      <c r="C120" s="73"/>
      <c r="D120" s="249"/>
      <c r="E120" s="67">
        <f t="shared" si="27"/>
        <v>0</v>
      </c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67">
        <f t="shared" si="28"/>
        <v>0</v>
      </c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67">
        <f t="shared" si="32"/>
        <v>0</v>
      </c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</row>
    <row r="121" spans="1:38" ht="20.25">
      <c r="A121" s="35" t="s">
        <v>86</v>
      </c>
      <c r="B121" s="79"/>
      <c r="C121" s="73"/>
      <c r="D121" s="249"/>
      <c r="E121" s="67">
        <f t="shared" si="27"/>
        <v>23.648999999999997</v>
      </c>
      <c r="F121" s="57">
        <f>11.4+9+3.249</f>
        <v>23.648999999999997</v>
      </c>
      <c r="G121" s="57"/>
      <c r="H121" s="57"/>
      <c r="I121" s="57"/>
      <c r="J121" s="57"/>
      <c r="K121" s="57"/>
      <c r="L121" s="57"/>
      <c r="M121" s="57"/>
      <c r="N121" s="57"/>
      <c r="O121" s="57"/>
      <c r="P121" s="67">
        <f t="shared" si="28"/>
        <v>23.649000000000001</v>
      </c>
      <c r="Q121" s="57">
        <f>0.399+7.75+7.75+7.75</f>
        <v>23.649000000000001</v>
      </c>
      <c r="R121" s="57"/>
      <c r="S121" s="57"/>
      <c r="T121" s="57"/>
      <c r="U121" s="57"/>
      <c r="V121" s="57"/>
      <c r="W121" s="57"/>
      <c r="X121" s="57"/>
      <c r="Y121" s="57"/>
      <c r="Z121" s="57"/>
      <c r="AA121" s="67">
        <f t="shared" si="32"/>
        <v>23.649000000000001</v>
      </c>
      <c r="AB121" s="57">
        <f>0.399+7.75+7.75+7.75</f>
        <v>23.649000000000001</v>
      </c>
      <c r="AC121" s="57"/>
      <c r="AD121" s="57"/>
      <c r="AE121" s="57"/>
      <c r="AF121" s="57"/>
      <c r="AG121" s="57"/>
      <c r="AH121" s="57"/>
      <c r="AI121" s="57"/>
      <c r="AJ121" s="57"/>
      <c r="AK121" s="57"/>
    </row>
    <row r="122" spans="1:38" ht="20.25">
      <c r="A122" s="35" t="s">
        <v>87</v>
      </c>
      <c r="B122" s="79"/>
      <c r="C122" s="73"/>
      <c r="D122" s="249"/>
      <c r="E122" s="67">
        <f t="shared" si="27"/>
        <v>287.39300000000003</v>
      </c>
      <c r="F122" s="57">
        <f>138.6+70.2+5.1+73.493</f>
        <v>287.39300000000003</v>
      </c>
      <c r="G122" s="57"/>
      <c r="H122" s="57"/>
      <c r="I122" s="57"/>
      <c r="J122" s="57"/>
      <c r="K122" s="57"/>
      <c r="L122" s="57"/>
      <c r="M122" s="57"/>
      <c r="N122" s="57"/>
      <c r="O122" s="57"/>
      <c r="P122" s="67">
        <f t="shared" si="28"/>
        <v>287.39300000000003</v>
      </c>
      <c r="Q122" s="57">
        <f>66.568+53.73+16.086+64.425+13.035+73.549</f>
        <v>287.39300000000003</v>
      </c>
      <c r="R122" s="57"/>
      <c r="S122" s="57"/>
      <c r="T122" s="57"/>
      <c r="U122" s="57"/>
      <c r="V122" s="57"/>
      <c r="W122" s="57"/>
      <c r="X122" s="57"/>
      <c r="Y122" s="57"/>
      <c r="Z122" s="57"/>
      <c r="AA122" s="67">
        <f t="shared" si="32"/>
        <v>287.39300000000003</v>
      </c>
      <c r="AB122" s="57">
        <f>66.568+53.73+16.086+64.425+13.035+73.549</f>
        <v>287.39300000000003</v>
      </c>
      <c r="AC122" s="57"/>
      <c r="AD122" s="57"/>
      <c r="AE122" s="57"/>
      <c r="AF122" s="57"/>
      <c r="AG122" s="57"/>
      <c r="AH122" s="57"/>
      <c r="AI122" s="57"/>
      <c r="AJ122" s="57"/>
      <c r="AK122" s="57"/>
      <c r="AL122" s="190"/>
    </row>
    <row r="123" spans="1:38" ht="20.25">
      <c r="A123" s="35" t="s">
        <v>88</v>
      </c>
      <c r="B123" s="79"/>
      <c r="C123" s="73"/>
      <c r="D123" s="249"/>
      <c r="E123" s="67">
        <f t="shared" si="27"/>
        <v>1151.3409999999999</v>
      </c>
      <c r="F123" s="57">
        <f>593.5+270.4+43.411+244.03</f>
        <v>1151.3409999999999</v>
      </c>
      <c r="G123" s="57"/>
      <c r="H123" s="57"/>
      <c r="I123" s="57"/>
      <c r="J123" s="57"/>
      <c r="K123" s="57"/>
      <c r="L123" s="57"/>
      <c r="M123" s="57"/>
      <c r="N123" s="57"/>
      <c r="O123" s="57"/>
      <c r="P123" s="67">
        <f t="shared" si="28"/>
        <v>1151.3409999999999</v>
      </c>
      <c r="Q123" s="57">
        <f>619.736+244.097+43.411+244.097</f>
        <v>1151.3409999999999</v>
      </c>
      <c r="R123" s="57"/>
      <c r="S123" s="57"/>
      <c r="T123" s="57"/>
      <c r="U123" s="57"/>
      <c r="V123" s="57"/>
      <c r="W123" s="57"/>
      <c r="X123" s="57"/>
      <c r="Y123" s="57"/>
      <c r="Z123" s="57"/>
      <c r="AA123" s="67">
        <f t="shared" si="32"/>
        <v>1151.3409999999999</v>
      </c>
      <c r="AB123" s="57">
        <f>619.736+244.097+43.411+244.097</f>
        <v>1151.3409999999999</v>
      </c>
      <c r="AC123" s="57"/>
      <c r="AD123" s="57"/>
      <c r="AE123" s="57"/>
      <c r="AF123" s="57"/>
      <c r="AG123" s="57"/>
      <c r="AH123" s="57"/>
      <c r="AI123" s="57"/>
      <c r="AJ123" s="57"/>
      <c r="AK123" s="57"/>
    </row>
    <row r="124" spans="1:38" ht="20.25">
      <c r="A124" s="36" t="s">
        <v>89</v>
      </c>
      <c r="B124" s="79"/>
      <c r="C124" s="73"/>
      <c r="D124" s="249"/>
      <c r="E124" s="67">
        <f t="shared" si="27"/>
        <v>0</v>
      </c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67">
        <f t="shared" si="28"/>
        <v>0</v>
      </c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67">
        <f t="shared" si="32"/>
        <v>0</v>
      </c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</row>
    <row r="125" spans="1:38" ht="20.25" hidden="1">
      <c r="A125" s="35"/>
      <c r="B125" s="79"/>
      <c r="C125" s="73"/>
      <c r="D125" s="249"/>
      <c r="E125" s="67">
        <f t="shared" si="27"/>
        <v>0</v>
      </c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67">
        <f t="shared" si="28"/>
        <v>0</v>
      </c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67">
        <f t="shared" si="32"/>
        <v>0</v>
      </c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</row>
    <row r="126" spans="1:38" ht="20.25" hidden="1">
      <c r="A126" s="35"/>
      <c r="B126" s="79"/>
      <c r="C126" s="73"/>
      <c r="D126" s="249"/>
      <c r="E126" s="67">
        <f t="shared" si="27"/>
        <v>0</v>
      </c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67">
        <f t="shared" si="28"/>
        <v>0</v>
      </c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67">
        <f t="shared" si="32"/>
        <v>0</v>
      </c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</row>
    <row r="127" spans="1:38" ht="20.25" hidden="1">
      <c r="A127" s="36"/>
      <c r="B127" s="80"/>
      <c r="C127" s="73"/>
      <c r="D127" s="250"/>
      <c r="E127" s="67">
        <f t="shared" si="27"/>
        <v>0</v>
      </c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67">
        <f t="shared" si="28"/>
        <v>0</v>
      </c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67">
        <f t="shared" si="32"/>
        <v>0</v>
      </c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</row>
    <row r="128" spans="1:38" s="60" customFormat="1" ht="31.5" hidden="1">
      <c r="A128" s="27" t="s">
        <v>90</v>
      </c>
      <c r="B128" s="78"/>
      <c r="C128" s="71"/>
      <c r="D128" s="84">
        <v>292</v>
      </c>
      <c r="E128" s="67">
        <f t="shared" si="27"/>
        <v>0</v>
      </c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67">
        <f t="shared" si="28"/>
        <v>0</v>
      </c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67">
        <f t="shared" si="32"/>
        <v>0</v>
      </c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</row>
    <row r="129" spans="1:37" s="60" customFormat="1" ht="31.5" hidden="1">
      <c r="A129" s="27" t="s">
        <v>91</v>
      </c>
      <c r="B129" s="78"/>
      <c r="C129" s="71"/>
      <c r="D129" s="84">
        <v>293</v>
      </c>
      <c r="E129" s="67">
        <f t="shared" si="27"/>
        <v>0</v>
      </c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67">
        <f t="shared" si="28"/>
        <v>0</v>
      </c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67">
        <f t="shared" si="32"/>
        <v>0</v>
      </c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</row>
    <row r="130" spans="1:37" s="60" customFormat="1" ht="20.25" hidden="1">
      <c r="A130" s="27" t="s">
        <v>92</v>
      </c>
      <c r="B130" s="78"/>
      <c r="C130" s="71"/>
      <c r="D130" s="248">
        <v>296</v>
      </c>
      <c r="E130" s="67">
        <f t="shared" si="27"/>
        <v>0</v>
      </c>
      <c r="F130" s="69">
        <f>SUM(F131:F133)</f>
        <v>0</v>
      </c>
      <c r="G130" s="69">
        <f t="shared" ref="G130:O130" si="50">SUM(G131:G137)</f>
        <v>0</v>
      </c>
      <c r="H130" s="69">
        <f t="shared" si="50"/>
        <v>0</v>
      </c>
      <c r="I130" s="69">
        <f t="shared" si="50"/>
        <v>0</v>
      </c>
      <c r="J130" s="69">
        <f t="shared" si="50"/>
        <v>0</v>
      </c>
      <c r="K130" s="69">
        <f t="shared" si="50"/>
        <v>0</v>
      </c>
      <c r="L130" s="69">
        <f t="shared" si="50"/>
        <v>0</v>
      </c>
      <c r="M130" s="69">
        <f t="shared" si="50"/>
        <v>0</v>
      </c>
      <c r="N130" s="69">
        <f t="shared" si="50"/>
        <v>0</v>
      </c>
      <c r="O130" s="69">
        <f t="shared" si="50"/>
        <v>0</v>
      </c>
      <c r="P130" s="67">
        <f t="shared" si="28"/>
        <v>0</v>
      </c>
      <c r="Q130" s="69">
        <f>SUM(Q131:Q133)</f>
        <v>0</v>
      </c>
      <c r="R130" s="69">
        <f t="shared" ref="R130:Z130" si="51">SUM(R131:R137)</f>
        <v>0</v>
      </c>
      <c r="S130" s="69">
        <f t="shared" si="51"/>
        <v>0</v>
      </c>
      <c r="T130" s="69">
        <f t="shared" si="51"/>
        <v>0</v>
      </c>
      <c r="U130" s="69">
        <f t="shared" si="51"/>
        <v>0</v>
      </c>
      <c r="V130" s="69">
        <f t="shared" si="51"/>
        <v>0</v>
      </c>
      <c r="W130" s="69">
        <f t="shared" si="51"/>
        <v>0</v>
      </c>
      <c r="X130" s="69">
        <f t="shared" si="51"/>
        <v>0</v>
      </c>
      <c r="Y130" s="69">
        <f t="shared" si="51"/>
        <v>0</v>
      </c>
      <c r="Z130" s="69">
        <f t="shared" si="51"/>
        <v>0</v>
      </c>
      <c r="AA130" s="67">
        <f t="shared" si="32"/>
        <v>0</v>
      </c>
      <c r="AB130" s="69">
        <f>SUM(AB131:AB133)</f>
        <v>0</v>
      </c>
      <c r="AC130" s="69">
        <f t="shared" ref="AC130:AK130" si="52">SUM(AC131:AC137)</f>
        <v>0</v>
      </c>
      <c r="AD130" s="69">
        <f t="shared" si="52"/>
        <v>0</v>
      </c>
      <c r="AE130" s="69">
        <f t="shared" si="52"/>
        <v>0</v>
      </c>
      <c r="AF130" s="69">
        <f t="shared" si="52"/>
        <v>0</v>
      </c>
      <c r="AG130" s="69">
        <f t="shared" si="52"/>
        <v>0</v>
      </c>
      <c r="AH130" s="69">
        <f t="shared" si="52"/>
        <v>0</v>
      </c>
      <c r="AI130" s="69">
        <f t="shared" si="52"/>
        <v>0</v>
      </c>
      <c r="AJ130" s="69">
        <f t="shared" si="52"/>
        <v>0</v>
      </c>
      <c r="AK130" s="69">
        <f t="shared" si="52"/>
        <v>0</v>
      </c>
    </row>
    <row r="131" spans="1:37" ht="31.5" hidden="1" customHeight="1">
      <c r="A131" s="36" t="s">
        <v>93</v>
      </c>
      <c r="B131" s="80"/>
      <c r="C131" s="73"/>
      <c r="D131" s="249"/>
      <c r="E131" s="67">
        <f t="shared" si="27"/>
        <v>0</v>
      </c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67">
        <f t="shared" si="28"/>
        <v>0</v>
      </c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67">
        <f t="shared" si="32"/>
        <v>0</v>
      </c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</row>
    <row r="132" spans="1:37" ht="20.25" hidden="1" customHeight="1">
      <c r="A132" s="36" t="s">
        <v>94</v>
      </c>
      <c r="B132" s="80"/>
      <c r="C132" s="73"/>
      <c r="D132" s="249"/>
      <c r="E132" s="67">
        <f t="shared" si="27"/>
        <v>0</v>
      </c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67">
        <f t="shared" si="28"/>
        <v>0</v>
      </c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67">
        <f t="shared" si="32"/>
        <v>0</v>
      </c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</row>
    <row r="133" spans="1:37" ht="20.25" hidden="1" customHeight="1">
      <c r="A133" s="35" t="s">
        <v>67</v>
      </c>
      <c r="B133" s="79"/>
      <c r="C133" s="73"/>
      <c r="D133" s="250"/>
      <c r="E133" s="67">
        <f t="shared" si="27"/>
        <v>0</v>
      </c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67">
        <f t="shared" si="28"/>
        <v>0</v>
      </c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67">
        <f t="shared" si="32"/>
        <v>0</v>
      </c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</row>
    <row r="134" spans="1:37" ht="20.25" hidden="1">
      <c r="A134" s="27" t="s">
        <v>95</v>
      </c>
      <c r="B134" s="79"/>
      <c r="C134" s="73"/>
      <c r="D134" s="189">
        <v>297</v>
      </c>
      <c r="E134" s="67">
        <f t="shared" si="27"/>
        <v>0</v>
      </c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67">
        <f t="shared" si="28"/>
        <v>0</v>
      </c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67">
        <f t="shared" si="32"/>
        <v>0</v>
      </c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</row>
    <row r="135" spans="1:37" ht="20.25" hidden="1" customHeight="1">
      <c r="A135" s="35"/>
      <c r="B135" s="79"/>
      <c r="C135" s="73"/>
      <c r="D135" s="146"/>
      <c r="E135" s="67">
        <f t="shared" ref="E135:E182" si="53">F135+G135+H135+I135+J135+K135+L135+M135+N135+O135</f>
        <v>0</v>
      </c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67">
        <f t="shared" ref="P135:P182" si="54">Q135+R135+S135+T135+U135+V135+W135+X135+Y135+Z135</f>
        <v>0</v>
      </c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67">
        <f t="shared" si="32"/>
        <v>0</v>
      </c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</row>
    <row r="136" spans="1:37" ht="20.25" hidden="1" customHeight="1">
      <c r="A136" s="35"/>
      <c r="B136" s="79"/>
      <c r="C136" s="73"/>
      <c r="D136" s="146"/>
      <c r="E136" s="67">
        <f t="shared" si="53"/>
        <v>0</v>
      </c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67">
        <f t="shared" si="54"/>
        <v>0</v>
      </c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67">
        <f t="shared" si="32"/>
        <v>0</v>
      </c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</row>
    <row r="137" spans="1:37" ht="20.25" hidden="1" customHeight="1">
      <c r="A137" s="40"/>
      <c r="B137" s="83"/>
      <c r="C137" s="73"/>
      <c r="D137" s="147"/>
      <c r="E137" s="67">
        <f t="shared" si="53"/>
        <v>0</v>
      </c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67">
        <f t="shared" si="54"/>
        <v>0</v>
      </c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67">
        <f t="shared" si="32"/>
        <v>0</v>
      </c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</row>
    <row r="138" spans="1:37" s="64" customFormat="1" ht="20.25">
      <c r="A138" s="62" t="s">
        <v>96</v>
      </c>
      <c r="B138" s="85"/>
      <c r="C138" s="75">
        <v>300</v>
      </c>
      <c r="D138" s="75"/>
      <c r="E138" s="67">
        <f t="shared" si="53"/>
        <v>484.89846</v>
      </c>
      <c r="F138" s="88">
        <f>F139+F152+F153+F154+F181</f>
        <v>484.89846</v>
      </c>
      <c r="G138" s="88">
        <f t="shared" ref="G138:O138" si="55">G139+G152+G153+G154+G181</f>
        <v>0</v>
      </c>
      <c r="H138" s="88">
        <f t="shared" si="55"/>
        <v>0</v>
      </c>
      <c r="I138" s="88">
        <f t="shared" si="55"/>
        <v>0</v>
      </c>
      <c r="J138" s="88">
        <f t="shared" si="55"/>
        <v>0</v>
      </c>
      <c r="K138" s="88">
        <f t="shared" si="55"/>
        <v>0</v>
      </c>
      <c r="L138" s="88">
        <f t="shared" si="55"/>
        <v>0</v>
      </c>
      <c r="M138" s="88">
        <f t="shared" si="55"/>
        <v>0</v>
      </c>
      <c r="N138" s="88">
        <f t="shared" si="55"/>
        <v>0</v>
      </c>
      <c r="O138" s="88">
        <f t="shared" si="55"/>
        <v>0</v>
      </c>
      <c r="P138" s="67">
        <f t="shared" si="54"/>
        <v>484.89846000000006</v>
      </c>
      <c r="Q138" s="88">
        <f>Q139+Q152+Q153+Q154+Q181</f>
        <v>484.89846000000006</v>
      </c>
      <c r="R138" s="88">
        <f t="shared" ref="R138:Z138" si="56">R139+R152+R153+R154+R181</f>
        <v>0</v>
      </c>
      <c r="S138" s="88">
        <f t="shared" si="56"/>
        <v>0</v>
      </c>
      <c r="T138" s="88">
        <f t="shared" si="56"/>
        <v>0</v>
      </c>
      <c r="U138" s="88">
        <f t="shared" si="56"/>
        <v>0</v>
      </c>
      <c r="V138" s="88">
        <f t="shared" si="56"/>
        <v>0</v>
      </c>
      <c r="W138" s="88">
        <f t="shared" si="56"/>
        <v>0</v>
      </c>
      <c r="X138" s="88">
        <f t="shared" si="56"/>
        <v>0</v>
      </c>
      <c r="Y138" s="88">
        <f t="shared" si="56"/>
        <v>0</v>
      </c>
      <c r="Z138" s="88">
        <f t="shared" si="56"/>
        <v>0</v>
      </c>
      <c r="AA138" s="67">
        <f t="shared" si="32"/>
        <v>484.89846</v>
      </c>
      <c r="AB138" s="88">
        <f>AB139+AB152+AB153+AB154+AB181</f>
        <v>484.89846</v>
      </c>
      <c r="AC138" s="88">
        <f t="shared" ref="AC138:AK138" si="57">AC139+AC152+AC153+AC154+AC181</f>
        <v>0</v>
      </c>
      <c r="AD138" s="88">
        <f t="shared" si="57"/>
        <v>0</v>
      </c>
      <c r="AE138" s="88">
        <f t="shared" si="57"/>
        <v>0</v>
      </c>
      <c r="AF138" s="88">
        <f t="shared" si="57"/>
        <v>0</v>
      </c>
      <c r="AG138" s="88">
        <f t="shared" si="57"/>
        <v>0</v>
      </c>
      <c r="AH138" s="88">
        <f t="shared" si="57"/>
        <v>0</v>
      </c>
      <c r="AI138" s="88">
        <f t="shared" si="57"/>
        <v>0</v>
      </c>
      <c r="AJ138" s="88">
        <f t="shared" si="57"/>
        <v>0</v>
      </c>
      <c r="AK138" s="88">
        <f t="shared" si="57"/>
        <v>0</v>
      </c>
    </row>
    <row r="139" spans="1:37" s="64" customFormat="1" ht="20.25">
      <c r="A139" s="62" t="s">
        <v>97</v>
      </c>
      <c r="B139" s="85"/>
      <c r="C139" s="75">
        <v>310</v>
      </c>
      <c r="D139" s="75"/>
      <c r="E139" s="67">
        <f t="shared" si="53"/>
        <v>0</v>
      </c>
      <c r="F139" s="88">
        <f>SUM(F140:F151)</f>
        <v>0</v>
      </c>
      <c r="G139" s="88">
        <f t="shared" ref="G139:O139" si="58">SUM(G140:G151)</f>
        <v>0</v>
      </c>
      <c r="H139" s="88">
        <f t="shared" si="58"/>
        <v>0</v>
      </c>
      <c r="I139" s="88">
        <f t="shared" si="58"/>
        <v>0</v>
      </c>
      <c r="J139" s="88">
        <f t="shared" si="58"/>
        <v>0</v>
      </c>
      <c r="K139" s="88">
        <f t="shared" si="58"/>
        <v>0</v>
      </c>
      <c r="L139" s="88">
        <f t="shared" si="58"/>
        <v>0</v>
      </c>
      <c r="M139" s="88">
        <f t="shared" si="58"/>
        <v>0</v>
      </c>
      <c r="N139" s="88">
        <f t="shared" si="58"/>
        <v>0</v>
      </c>
      <c r="O139" s="88">
        <f t="shared" si="58"/>
        <v>0</v>
      </c>
      <c r="P139" s="67">
        <f t="shared" si="54"/>
        <v>0</v>
      </c>
      <c r="Q139" s="88">
        <f>SUM(Q140:Q151)</f>
        <v>0</v>
      </c>
      <c r="R139" s="88">
        <f t="shared" ref="R139:Z139" si="59">SUM(R140:R151)</f>
        <v>0</v>
      </c>
      <c r="S139" s="88">
        <f t="shared" si="59"/>
        <v>0</v>
      </c>
      <c r="T139" s="88">
        <f t="shared" si="59"/>
        <v>0</v>
      </c>
      <c r="U139" s="88">
        <f t="shared" si="59"/>
        <v>0</v>
      </c>
      <c r="V139" s="88">
        <f t="shared" si="59"/>
        <v>0</v>
      </c>
      <c r="W139" s="88">
        <f t="shared" si="59"/>
        <v>0</v>
      </c>
      <c r="X139" s="88">
        <f t="shared" si="59"/>
        <v>0</v>
      </c>
      <c r="Y139" s="88">
        <f t="shared" si="59"/>
        <v>0</v>
      </c>
      <c r="Z139" s="88">
        <f t="shared" si="59"/>
        <v>0</v>
      </c>
      <c r="AA139" s="67">
        <f t="shared" si="32"/>
        <v>0</v>
      </c>
      <c r="AB139" s="88">
        <f>SUM(AB140:AB151)</f>
        <v>0</v>
      </c>
      <c r="AC139" s="88">
        <f t="shared" ref="AC139:AK139" si="60">SUM(AC140:AC151)</f>
        <v>0</v>
      </c>
      <c r="AD139" s="88">
        <f t="shared" si="60"/>
        <v>0</v>
      </c>
      <c r="AE139" s="88">
        <f t="shared" si="60"/>
        <v>0</v>
      </c>
      <c r="AF139" s="88">
        <f t="shared" si="60"/>
        <v>0</v>
      </c>
      <c r="AG139" s="88">
        <f t="shared" si="60"/>
        <v>0</v>
      </c>
      <c r="AH139" s="88">
        <f t="shared" si="60"/>
        <v>0</v>
      </c>
      <c r="AI139" s="88">
        <f t="shared" si="60"/>
        <v>0</v>
      </c>
      <c r="AJ139" s="88">
        <f t="shared" si="60"/>
        <v>0</v>
      </c>
      <c r="AK139" s="88">
        <f t="shared" si="60"/>
        <v>0</v>
      </c>
    </row>
    <row r="140" spans="1:37" ht="20.25" hidden="1">
      <c r="A140" s="40" t="s">
        <v>98</v>
      </c>
      <c r="B140" s="83"/>
      <c r="C140" s="73"/>
      <c r="D140" s="73"/>
      <c r="E140" s="67">
        <f t="shared" si="53"/>
        <v>0</v>
      </c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67">
        <f t="shared" si="54"/>
        <v>0</v>
      </c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67">
        <f t="shared" si="32"/>
        <v>0</v>
      </c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</row>
    <row r="141" spans="1:37" ht="20.25" hidden="1">
      <c r="A141" s="40" t="s">
        <v>99</v>
      </c>
      <c r="B141" s="83"/>
      <c r="C141" s="73"/>
      <c r="D141" s="73"/>
      <c r="E141" s="67">
        <f t="shared" si="53"/>
        <v>0</v>
      </c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67">
        <f t="shared" si="54"/>
        <v>0</v>
      </c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67">
        <f t="shared" si="32"/>
        <v>0</v>
      </c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</row>
    <row r="142" spans="1:37" ht="20.25" hidden="1">
      <c r="A142" s="40" t="s">
        <v>100</v>
      </c>
      <c r="B142" s="83"/>
      <c r="C142" s="73"/>
      <c r="D142" s="73"/>
      <c r="E142" s="67">
        <f t="shared" si="53"/>
        <v>0</v>
      </c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67">
        <f t="shared" si="54"/>
        <v>0</v>
      </c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67">
        <f t="shared" si="32"/>
        <v>0</v>
      </c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</row>
    <row r="143" spans="1:37" ht="20.25" hidden="1">
      <c r="A143" s="40" t="s">
        <v>101</v>
      </c>
      <c r="B143" s="83"/>
      <c r="C143" s="73"/>
      <c r="D143" s="73"/>
      <c r="E143" s="67">
        <f t="shared" si="53"/>
        <v>0</v>
      </c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67">
        <f t="shared" si="54"/>
        <v>0</v>
      </c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67">
        <f t="shared" si="32"/>
        <v>0</v>
      </c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</row>
    <row r="144" spans="1:37" ht="20.25" hidden="1">
      <c r="A144" s="40" t="s">
        <v>102</v>
      </c>
      <c r="B144" s="83"/>
      <c r="C144" s="73"/>
      <c r="D144" s="73"/>
      <c r="E144" s="67">
        <f t="shared" si="53"/>
        <v>0</v>
      </c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67">
        <f t="shared" si="54"/>
        <v>0</v>
      </c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67">
        <f t="shared" si="32"/>
        <v>0</v>
      </c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</row>
    <row r="145" spans="1:38" ht="20.25" hidden="1">
      <c r="A145" s="40"/>
      <c r="B145" s="83"/>
      <c r="C145" s="73"/>
      <c r="D145" s="73"/>
      <c r="E145" s="67">
        <f t="shared" si="53"/>
        <v>0</v>
      </c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67">
        <f t="shared" si="54"/>
        <v>0</v>
      </c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67">
        <f t="shared" si="32"/>
        <v>0</v>
      </c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</row>
    <row r="146" spans="1:38" ht="20.25" hidden="1">
      <c r="A146" s="40" t="s">
        <v>103</v>
      </c>
      <c r="B146" s="83"/>
      <c r="C146" s="73"/>
      <c r="D146" s="73"/>
      <c r="E146" s="67">
        <f t="shared" si="53"/>
        <v>0</v>
      </c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67">
        <f t="shared" si="54"/>
        <v>0</v>
      </c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67">
        <f t="shared" si="32"/>
        <v>0</v>
      </c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</row>
    <row r="147" spans="1:38" ht="20.25" hidden="1">
      <c r="A147" s="40"/>
      <c r="B147" s="83"/>
      <c r="C147" s="73"/>
      <c r="D147" s="73"/>
      <c r="E147" s="67">
        <f t="shared" si="53"/>
        <v>0</v>
      </c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67">
        <f t="shared" si="54"/>
        <v>0</v>
      </c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67">
        <f t="shared" si="32"/>
        <v>0</v>
      </c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</row>
    <row r="148" spans="1:38" ht="20.25" hidden="1">
      <c r="A148" s="40"/>
      <c r="B148" s="83"/>
      <c r="C148" s="73"/>
      <c r="D148" s="73"/>
      <c r="E148" s="67">
        <f t="shared" si="53"/>
        <v>0</v>
      </c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67">
        <f t="shared" si="54"/>
        <v>0</v>
      </c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67">
        <f t="shared" si="32"/>
        <v>0</v>
      </c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</row>
    <row r="149" spans="1:38" ht="20.25" hidden="1">
      <c r="A149" s="40"/>
      <c r="B149" s="83"/>
      <c r="C149" s="73"/>
      <c r="D149" s="73"/>
      <c r="E149" s="67">
        <f t="shared" si="53"/>
        <v>0</v>
      </c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67">
        <f t="shared" si="54"/>
        <v>0</v>
      </c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67">
        <f t="shared" si="32"/>
        <v>0</v>
      </c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</row>
    <row r="150" spans="1:38" ht="20.25" hidden="1">
      <c r="A150" s="40"/>
      <c r="B150" s="83"/>
      <c r="C150" s="73"/>
      <c r="D150" s="73"/>
      <c r="E150" s="67">
        <f t="shared" si="53"/>
        <v>0</v>
      </c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67">
        <f t="shared" si="54"/>
        <v>0</v>
      </c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67">
        <f t="shared" si="32"/>
        <v>0</v>
      </c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</row>
    <row r="151" spans="1:38" ht="20.25" hidden="1">
      <c r="A151" s="40"/>
      <c r="B151" s="83"/>
      <c r="C151" s="73"/>
      <c r="D151" s="73"/>
      <c r="E151" s="67">
        <f t="shared" si="53"/>
        <v>0</v>
      </c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67">
        <f t="shared" si="54"/>
        <v>0</v>
      </c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67">
        <f t="shared" si="32"/>
        <v>0</v>
      </c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</row>
    <row r="152" spans="1:38" s="64" customFormat="1" ht="20.25" hidden="1">
      <c r="A152" s="62" t="s">
        <v>104</v>
      </c>
      <c r="B152" s="85"/>
      <c r="C152" s="75">
        <v>320</v>
      </c>
      <c r="D152" s="75"/>
      <c r="E152" s="67">
        <f t="shared" si="53"/>
        <v>0</v>
      </c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7">
        <f t="shared" si="54"/>
        <v>0</v>
      </c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7">
        <f t="shared" si="32"/>
        <v>0</v>
      </c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</row>
    <row r="153" spans="1:38" s="64" customFormat="1" ht="20.25" hidden="1">
      <c r="A153" s="62" t="s">
        <v>105</v>
      </c>
      <c r="B153" s="85"/>
      <c r="C153" s="75">
        <v>330</v>
      </c>
      <c r="D153" s="75"/>
      <c r="E153" s="67">
        <f t="shared" si="53"/>
        <v>0</v>
      </c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7">
        <f t="shared" si="54"/>
        <v>0</v>
      </c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7">
        <f t="shared" si="32"/>
        <v>0</v>
      </c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</row>
    <row r="154" spans="1:38" s="64" customFormat="1" ht="20.25">
      <c r="A154" s="62" t="s">
        <v>106</v>
      </c>
      <c r="B154" s="85"/>
      <c r="C154" s="75">
        <v>340</v>
      </c>
      <c r="D154" s="75"/>
      <c r="E154" s="67">
        <f t="shared" si="53"/>
        <v>484.89846</v>
      </c>
      <c r="F154" s="88">
        <f>F155+F156+F157+F158+F159+F160+F173</f>
        <v>484.89846</v>
      </c>
      <c r="G154" s="88">
        <f t="shared" ref="G154:O154" si="61">G155+G156+G157+G158+G159+G160+G173</f>
        <v>0</v>
      </c>
      <c r="H154" s="88">
        <f t="shared" si="61"/>
        <v>0</v>
      </c>
      <c r="I154" s="88">
        <f t="shared" si="61"/>
        <v>0</v>
      </c>
      <c r="J154" s="88">
        <f t="shared" si="61"/>
        <v>0</v>
      </c>
      <c r="K154" s="88">
        <f t="shared" si="61"/>
        <v>0</v>
      </c>
      <c r="L154" s="88">
        <f t="shared" si="61"/>
        <v>0</v>
      </c>
      <c r="M154" s="88">
        <f t="shared" si="61"/>
        <v>0</v>
      </c>
      <c r="N154" s="88">
        <f t="shared" si="61"/>
        <v>0</v>
      </c>
      <c r="O154" s="88">
        <f t="shared" si="61"/>
        <v>0</v>
      </c>
      <c r="P154" s="67">
        <f t="shared" si="54"/>
        <v>484.89846000000006</v>
      </c>
      <c r="Q154" s="88">
        <f>Q155+Q156+Q157+Q158+Q159+Q160+Q173</f>
        <v>484.89846000000006</v>
      </c>
      <c r="R154" s="88">
        <f t="shared" ref="R154:Z154" si="62">R155+R156+R157+R158+R159+R160+R173</f>
        <v>0</v>
      </c>
      <c r="S154" s="88">
        <f t="shared" si="62"/>
        <v>0</v>
      </c>
      <c r="T154" s="88">
        <f t="shared" si="62"/>
        <v>0</v>
      </c>
      <c r="U154" s="88">
        <f t="shared" si="62"/>
        <v>0</v>
      </c>
      <c r="V154" s="88">
        <f t="shared" si="62"/>
        <v>0</v>
      </c>
      <c r="W154" s="88">
        <f t="shared" si="62"/>
        <v>0</v>
      </c>
      <c r="X154" s="88">
        <f t="shared" si="62"/>
        <v>0</v>
      </c>
      <c r="Y154" s="88">
        <f t="shared" si="62"/>
        <v>0</v>
      </c>
      <c r="Z154" s="88">
        <f t="shared" si="62"/>
        <v>0</v>
      </c>
      <c r="AA154" s="67">
        <f t="shared" si="32"/>
        <v>484.89846</v>
      </c>
      <c r="AB154" s="88">
        <f>AB155+AB156+AB157+AB158+AB159+AB160+AB173</f>
        <v>484.89846</v>
      </c>
      <c r="AC154" s="88">
        <f t="shared" ref="AC154:AK154" si="63">AC155+AC156+AC157+AC158+AC159+AC160+AC173</f>
        <v>0</v>
      </c>
      <c r="AD154" s="88">
        <f t="shared" si="63"/>
        <v>0</v>
      </c>
      <c r="AE154" s="88">
        <f t="shared" si="63"/>
        <v>0</v>
      </c>
      <c r="AF154" s="88">
        <f t="shared" si="63"/>
        <v>0</v>
      </c>
      <c r="AG154" s="88">
        <f t="shared" si="63"/>
        <v>0</v>
      </c>
      <c r="AH154" s="88">
        <f t="shared" si="63"/>
        <v>0</v>
      </c>
      <c r="AI154" s="88">
        <f t="shared" si="63"/>
        <v>0</v>
      </c>
      <c r="AJ154" s="88">
        <f t="shared" si="63"/>
        <v>0</v>
      </c>
      <c r="AK154" s="88">
        <f t="shared" si="63"/>
        <v>0</v>
      </c>
    </row>
    <row r="155" spans="1:38" s="60" customFormat="1" ht="31.5">
      <c r="A155" s="27" t="s">
        <v>107</v>
      </c>
      <c r="B155" s="78"/>
      <c r="C155" s="71"/>
      <c r="D155" s="84">
        <v>341</v>
      </c>
      <c r="E155" s="67">
        <f t="shared" si="53"/>
        <v>5.3000000000000007</v>
      </c>
      <c r="F155" s="59">
        <f>150-80-15-10-4.44103-4.08832-31.17065</f>
        <v>5.3000000000000007</v>
      </c>
      <c r="G155" s="59"/>
      <c r="H155" s="59"/>
      <c r="I155" s="59"/>
      <c r="J155" s="59"/>
      <c r="K155" s="59"/>
      <c r="L155" s="59"/>
      <c r="M155" s="59"/>
      <c r="N155" s="59"/>
      <c r="O155" s="59"/>
      <c r="P155" s="67">
        <f t="shared" si="54"/>
        <v>5.3</v>
      </c>
      <c r="Q155" s="59">
        <v>5.3</v>
      </c>
      <c r="R155" s="59"/>
      <c r="S155" s="59"/>
      <c r="T155" s="59"/>
      <c r="U155" s="59"/>
      <c r="V155" s="59"/>
      <c r="W155" s="59"/>
      <c r="X155" s="59"/>
      <c r="Y155" s="59"/>
      <c r="Z155" s="59"/>
      <c r="AA155" s="67">
        <f t="shared" si="32"/>
        <v>5.3</v>
      </c>
      <c r="AB155" s="59">
        <v>5.3</v>
      </c>
      <c r="AC155" s="59"/>
      <c r="AD155" s="59"/>
      <c r="AE155" s="59"/>
      <c r="AF155" s="59"/>
      <c r="AG155" s="59"/>
      <c r="AH155" s="59"/>
      <c r="AI155" s="59"/>
      <c r="AJ155" s="59"/>
      <c r="AK155" s="59"/>
    </row>
    <row r="156" spans="1:38" s="60" customFormat="1" ht="20.25">
      <c r="A156" s="27" t="s">
        <v>108</v>
      </c>
      <c r="B156" s="78"/>
      <c r="C156" s="71"/>
      <c r="D156" s="84">
        <v>342</v>
      </c>
      <c r="E156" s="67">
        <f t="shared" si="53"/>
        <v>0</v>
      </c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67">
        <f t="shared" si="54"/>
        <v>0</v>
      </c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67">
        <f t="shared" si="32"/>
        <v>0</v>
      </c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</row>
    <row r="157" spans="1:38" s="60" customFormat="1" ht="20.25">
      <c r="A157" s="27" t="s">
        <v>109</v>
      </c>
      <c r="B157" s="78"/>
      <c r="C157" s="71"/>
      <c r="D157" s="84">
        <v>343</v>
      </c>
      <c r="E157" s="67">
        <f t="shared" si="53"/>
        <v>220.15799999999999</v>
      </c>
      <c r="F157" s="59">
        <f>215+5.158</f>
        <v>220.15799999999999</v>
      </c>
      <c r="G157" s="59"/>
      <c r="H157" s="59"/>
      <c r="I157" s="59"/>
      <c r="J157" s="59"/>
      <c r="K157" s="59"/>
      <c r="L157" s="59"/>
      <c r="M157" s="59"/>
      <c r="N157" s="59"/>
      <c r="O157" s="59"/>
      <c r="P157" s="67">
        <f t="shared" si="54"/>
        <v>220.15800000000002</v>
      </c>
      <c r="Q157" s="59">
        <f>15.015+17.16+21.45+12.87+17.16+25.74+28.21+26.62+26.52+29.413</f>
        <v>220.15800000000002</v>
      </c>
      <c r="R157" s="59"/>
      <c r="S157" s="59"/>
      <c r="T157" s="59"/>
      <c r="U157" s="59"/>
      <c r="V157" s="59"/>
      <c r="W157" s="59"/>
      <c r="X157" s="59"/>
      <c r="Y157" s="59"/>
      <c r="Z157" s="59"/>
      <c r="AA157" s="67">
        <f t="shared" ref="AA157:AA182" si="64">AB157+AC157+AD157+AE157+AF157+AG157+AH157+AI157+AJ157+AK157</f>
        <v>220.15799999999999</v>
      </c>
      <c r="AB157" s="59">
        <v>220.15799999999999</v>
      </c>
      <c r="AC157" s="59"/>
      <c r="AD157" s="59"/>
      <c r="AE157" s="59"/>
      <c r="AF157" s="59"/>
      <c r="AG157" s="59"/>
      <c r="AH157" s="59"/>
      <c r="AI157" s="59"/>
      <c r="AJ157" s="59"/>
      <c r="AK157" s="59"/>
    </row>
    <row r="158" spans="1:38" s="60" customFormat="1" ht="20.25">
      <c r="A158" s="27" t="s">
        <v>110</v>
      </c>
      <c r="B158" s="78"/>
      <c r="C158" s="71"/>
      <c r="D158" s="84">
        <v>344</v>
      </c>
      <c r="E158" s="67">
        <f t="shared" si="53"/>
        <v>79.894999999999996</v>
      </c>
      <c r="F158" s="59">
        <f>80-0.105</f>
        <v>79.894999999999996</v>
      </c>
      <c r="G158" s="59"/>
      <c r="H158" s="59"/>
      <c r="I158" s="59"/>
      <c r="J158" s="59"/>
      <c r="K158" s="59"/>
      <c r="L158" s="59"/>
      <c r="M158" s="59"/>
      <c r="N158" s="59"/>
      <c r="O158" s="59"/>
      <c r="P158" s="67">
        <f t="shared" si="54"/>
        <v>79.89500000000001</v>
      </c>
      <c r="Q158" s="59">
        <f>15.75+26.57+37.575</f>
        <v>79.89500000000001</v>
      </c>
      <c r="R158" s="59"/>
      <c r="S158" s="59"/>
      <c r="T158" s="59"/>
      <c r="U158" s="59"/>
      <c r="V158" s="59"/>
      <c r="W158" s="59"/>
      <c r="X158" s="59"/>
      <c r="Y158" s="59"/>
      <c r="Z158" s="59"/>
      <c r="AA158" s="67">
        <f t="shared" si="64"/>
        <v>79.89500000000001</v>
      </c>
      <c r="AB158" s="59">
        <f>26.57+53.325</f>
        <v>79.89500000000001</v>
      </c>
      <c r="AC158" s="59"/>
      <c r="AD158" s="59"/>
      <c r="AE158" s="59"/>
      <c r="AF158" s="59"/>
      <c r="AG158" s="59"/>
      <c r="AH158" s="59"/>
      <c r="AI158" s="59"/>
      <c r="AJ158" s="59"/>
      <c r="AK158" s="59"/>
    </row>
    <row r="159" spans="1:38" s="60" customFormat="1" ht="20.25">
      <c r="A159" s="27" t="s">
        <v>111</v>
      </c>
      <c r="B159" s="78"/>
      <c r="C159" s="71"/>
      <c r="D159" s="84">
        <v>345</v>
      </c>
      <c r="E159" s="67">
        <f t="shared" si="53"/>
        <v>6.27</v>
      </c>
      <c r="F159" s="59">
        <v>6.27</v>
      </c>
      <c r="G159" s="59"/>
      <c r="H159" s="59"/>
      <c r="I159" s="59"/>
      <c r="J159" s="59"/>
      <c r="K159" s="59"/>
      <c r="L159" s="59"/>
      <c r="M159" s="59"/>
      <c r="N159" s="59"/>
      <c r="O159" s="59"/>
      <c r="P159" s="67">
        <f t="shared" si="54"/>
        <v>6.27</v>
      </c>
      <c r="Q159" s="59">
        <v>6.27</v>
      </c>
      <c r="R159" s="59"/>
      <c r="S159" s="59"/>
      <c r="T159" s="59"/>
      <c r="U159" s="59"/>
      <c r="V159" s="59"/>
      <c r="W159" s="59"/>
      <c r="X159" s="59"/>
      <c r="Y159" s="59"/>
      <c r="Z159" s="59"/>
      <c r="AA159" s="67">
        <f t="shared" si="64"/>
        <v>6.27</v>
      </c>
      <c r="AB159" s="59">
        <v>6.27</v>
      </c>
      <c r="AC159" s="59"/>
      <c r="AD159" s="59"/>
      <c r="AE159" s="59"/>
      <c r="AF159" s="59"/>
      <c r="AG159" s="59"/>
      <c r="AH159" s="59"/>
      <c r="AI159" s="59"/>
      <c r="AJ159" s="59"/>
      <c r="AK159" s="59"/>
    </row>
    <row r="160" spans="1:38" s="60" customFormat="1" ht="20.25">
      <c r="A160" s="27" t="s">
        <v>112</v>
      </c>
      <c r="B160" s="78"/>
      <c r="C160" s="71"/>
      <c r="D160" s="248">
        <v>346</v>
      </c>
      <c r="E160" s="67">
        <f t="shared" si="53"/>
        <v>139.56346000000002</v>
      </c>
      <c r="F160" s="69">
        <f>SUM(F161:F172)</f>
        <v>139.56346000000002</v>
      </c>
      <c r="G160" s="69">
        <f t="shared" ref="G160:O160" si="65">SUM(G161:G172)</f>
        <v>0</v>
      </c>
      <c r="H160" s="69">
        <f t="shared" si="65"/>
        <v>0</v>
      </c>
      <c r="I160" s="69">
        <f t="shared" si="65"/>
        <v>0</v>
      </c>
      <c r="J160" s="69">
        <f t="shared" si="65"/>
        <v>0</v>
      </c>
      <c r="K160" s="69">
        <f t="shared" si="65"/>
        <v>0</v>
      </c>
      <c r="L160" s="69">
        <f t="shared" si="65"/>
        <v>0</v>
      </c>
      <c r="M160" s="69">
        <f t="shared" si="65"/>
        <v>0</v>
      </c>
      <c r="N160" s="69">
        <f t="shared" si="65"/>
        <v>0</v>
      </c>
      <c r="O160" s="69">
        <f t="shared" si="65"/>
        <v>0</v>
      </c>
      <c r="P160" s="67">
        <f t="shared" si="54"/>
        <v>139.56346000000002</v>
      </c>
      <c r="Q160" s="69">
        <f>SUM(Q161:Q172)</f>
        <v>139.56346000000002</v>
      </c>
      <c r="R160" s="69">
        <f t="shared" ref="R160:Z160" si="66">SUM(R161:R172)</f>
        <v>0</v>
      </c>
      <c r="S160" s="69">
        <f t="shared" si="66"/>
        <v>0</v>
      </c>
      <c r="T160" s="69">
        <f t="shared" si="66"/>
        <v>0</v>
      </c>
      <c r="U160" s="69">
        <f t="shared" si="66"/>
        <v>0</v>
      </c>
      <c r="V160" s="69">
        <f t="shared" si="66"/>
        <v>0</v>
      </c>
      <c r="W160" s="69">
        <f t="shared" si="66"/>
        <v>0</v>
      </c>
      <c r="X160" s="69">
        <f t="shared" si="66"/>
        <v>0</v>
      </c>
      <c r="Y160" s="69">
        <f t="shared" si="66"/>
        <v>0</v>
      </c>
      <c r="Z160" s="69">
        <f t="shared" si="66"/>
        <v>0</v>
      </c>
      <c r="AA160" s="67">
        <f t="shared" si="64"/>
        <v>139.56346000000002</v>
      </c>
      <c r="AB160" s="69">
        <f>SUM(AB161:AB172)</f>
        <v>139.56346000000002</v>
      </c>
      <c r="AC160" s="69">
        <f t="shared" ref="AC160:AK160" si="67">SUM(AC161:AC172)</f>
        <v>0</v>
      </c>
      <c r="AD160" s="69">
        <f t="shared" si="67"/>
        <v>0</v>
      </c>
      <c r="AE160" s="69">
        <f t="shared" si="67"/>
        <v>0</v>
      </c>
      <c r="AF160" s="69">
        <f t="shared" si="67"/>
        <v>0</v>
      </c>
      <c r="AG160" s="69">
        <f t="shared" si="67"/>
        <v>0</v>
      </c>
      <c r="AH160" s="69">
        <f t="shared" si="67"/>
        <v>0</v>
      </c>
      <c r="AI160" s="69">
        <f t="shared" si="67"/>
        <v>0</v>
      </c>
      <c r="AJ160" s="69">
        <f t="shared" si="67"/>
        <v>0</v>
      </c>
      <c r="AK160" s="69">
        <f t="shared" si="67"/>
        <v>0</v>
      </c>
      <c r="AL160" s="193"/>
    </row>
    <row r="161" spans="1:40" ht="20.25" hidden="1">
      <c r="A161" s="36" t="s">
        <v>113</v>
      </c>
      <c r="B161" s="80"/>
      <c r="C161" s="73"/>
      <c r="D161" s="249"/>
      <c r="E161" s="67">
        <f t="shared" si="53"/>
        <v>0</v>
      </c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67">
        <f t="shared" si="54"/>
        <v>0</v>
      </c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67">
        <f t="shared" si="64"/>
        <v>0</v>
      </c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</row>
    <row r="162" spans="1:40" ht="20.25" hidden="1">
      <c r="A162" s="36"/>
      <c r="B162" s="80"/>
      <c r="C162" s="73"/>
      <c r="D162" s="249"/>
      <c r="E162" s="67">
        <f t="shared" si="53"/>
        <v>0</v>
      </c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67">
        <f t="shared" si="54"/>
        <v>0</v>
      </c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67">
        <f t="shared" si="64"/>
        <v>0</v>
      </c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</row>
    <row r="163" spans="1:40" ht="20.25" hidden="1">
      <c r="A163" s="36" t="s">
        <v>114</v>
      </c>
      <c r="B163" s="80"/>
      <c r="C163" s="73"/>
      <c r="D163" s="249"/>
      <c r="E163" s="67">
        <f t="shared" si="53"/>
        <v>0</v>
      </c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67">
        <f t="shared" si="54"/>
        <v>0</v>
      </c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67">
        <f t="shared" si="64"/>
        <v>0</v>
      </c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</row>
    <row r="164" spans="1:40" ht="20.25" hidden="1">
      <c r="A164" s="36" t="s">
        <v>180</v>
      </c>
      <c r="B164" s="80"/>
      <c r="C164" s="73"/>
      <c r="D164" s="249"/>
      <c r="E164" s="67">
        <f t="shared" si="53"/>
        <v>0</v>
      </c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67">
        <f t="shared" si="54"/>
        <v>0</v>
      </c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67">
        <f t="shared" si="64"/>
        <v>0</v>
      </c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</row>
    <row r="165" spans="1:40" ht="20.25" hidden="1">
      <c r="A165" s="36"/>
      <c r="B165" s="80"/>
      <c r="C165" s="73"/>
      <c r="D165" s="249"/>
      <c r="E165" s="67">
        <f t="shared" si="53"/>
        <v>0</v>
      </c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67">
        <f t="shared" si="54"/>
        <v>0</v>
      </c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67">
        <f t="shared" si="64"/>
        <v>0</v>
      </c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</row>
    <row r="166" spans="1:40" ht="20.25" hidden="1">
      <c r="A166" s="36"/>
      <c r="B166" s="80"/>
      <c r="C166" s="73"/>
      <c r="D166" s="249"/>
      <c r="E166" s="67">
        <f t="shared" si="53"/>
        <v>0</v>
      </c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67">
        <f t="shared" si="54"/>
        <v>0</v>
      </c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67">
        <f t="shared" si="64"/>
        <v>0</v>
      </c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</row>
    <row r="167" spans="1:40" ht="20.25" hidden="1">
      <c r="A167" s="36" t="s">
        <v>116</v>
      </c>
      <c r="B167" s="80"/>
      <c r="C167" s="73"/>
      <c r="D167" s="249"/>
      <c r="E167" s="67">
        <f t="shared" si="53"/>
        <v>0</v>
      </c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67">
        <f t="shared" si="54"/>
        <v>0</v>
      </c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67">
        <f t="shared" si="64"/>
        <v>0</v>
      </c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</row>
    <row r="168" spans="1:40" ht="20.25" hidden="1">
      <c r="A168" s="36" t="s">
        <v>117</v>
      </c>
      <c r="B168" s="80"/>
      <c r="C168" s="73"/>
      <c r="D168" s="249"/>
      <c r="E168" s="67">
        <f t="shared" si="53"/>
        <v>0</v>
      </c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67">
        <f t="shared" si="54"/>
        <v>0</v>
      </c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67">
        <f t="shared" si="64"/>
        <v>0</v>
      </c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</row>
    <row r="169" spans="1:40" ht="20.25">
      <c r="A169" s="35" t="s">
        <v>181</v>
      </c>
      <c r="B169" s="80"/>
      <c r="C169" s="73"/>
      <c r="D169" s="249"/>
      <c r="E169" s="67">
        <f t="shared" si="53"/>
        <v>2.9699999999999989</v>
      </c>
      <c r="F169" s="57">
        <f>43.73-40.76</f>
        <v>2.9699999999999989</v>
      </c>
      <c r="G169" s="57"/>
      <c r="H169" s="57"/>
      <c r="I169" s="57"/>
      <c r="J169" s="57"/>
      <c r="K169" s="57"/>
      <c r="L169" s="57"/>
      <c r="M169" s="57"/>
      <c r="N169" s="57"/>
      <c r="O169" s="57"/>
      <c r="P169" s="67">
        <f t="shared" si="54"/>
        <v>2.97</v>
      </c>
      <c r="Q169" s="57">
        <v>2.97</v>
      </c>
      <c r="R169" s="57"/>
      <c r="S169" s="57"/>
      <c r="T169" s="57"/>
      <c r="U169" s="57"/>
      <c r="V169" s="57"/>
      <c r="W169" s="57"/>
      <c r="X169" s="57"/>
      <c r="Y169" s="57"/>
      <c r="Z169" s="57"/>
      <c r="AA169" s="67">
        <f t="shared" si="64"/>
        <v>2.97</v>
      </c>
      <c r="AB169" s="57">
        <v>2.97</v>
      </c>
      <c r="AC169" s="57"/>
      <c r="AD169" s="57"/>
      <c r="AE169" s="57"/>
      <c r="AF169" s="57"/>
      <c r="AG169" s="57"/>
      <c r="AH169" s="57"/>
      <c r="AI169" s="57"/>
      <c r="AJ169" s="57"/>
      <c r="AK169" s="57"/>
    </row>
    <row r="170" spans="1:40" ht="20.25">
      <c r="A170" s="36" t="s">
        <v>164</v>
      </c>
      <c r="B170" s="80"/>
      <c r="C170" s="73"/>
      <c r="D170" s="249"/>
      <c r="E170" s="67">
        <f t="shared" si="53"/>
        <v>121.96846000000001</v>
      </c>
      <c r="F170" s="57">
        <f>127.466+10-0.493-15.00454</f>
        <v>121.96846000000001</v>
      </c>
      <c r="G170" s="57"/>
      <c r="H170" s="57"/>
      <c r="I170" s="57"/>
      <c r="J170" s="57"/>
      <c r="K170" s="57"/>
      <c r="L170" s="57"/>
      <c r="M170" s="57"/>
      <c r="N170" s="57"/>
      <c r="O170" s="57"/>
      <c r="P170" s="67">
        <f t="shared" si="54"/>
        <v>121.96846000000001</v>
      </c>
      <c r="Q170" s="57">
        <f>14.681+18.10136+4.9545+27.5376+5.215+2.97+36.036+1.835-2.97+6.384+4.229+2.995</f>
        <v>121.96846000000001</v>
      </c>
      <c r="R170" s="57"/>
      <c r="S170" s="57"/>
      <c r="T170" s="57"/>
      <c r="U170" s="57"/>
      <c r="V170" s="57"/>
      <c r="W170" s="57"/>
      <c r="X170" s="57"/>
      <c r="Y170" s="57"/>
      <c r="Z170" s="57"/>
      <c r="AA170" s="67">
        <f t="shared" si="64"/>
        <v>121.96846000000001</v>
      </c>
      <c r="AB170" s="57">
        <f>111.33046-2.97+6.384+4.229+2.995</f>
        <v>121.96846000000001</v>
      </c>
      <c r="AC170" s="57"/>
      <c r="AD170" s="57"/>
      <c r="AE170" s="57"/>
      <c r="AF170" s="57"/>
      <c r="AG170" s="57"/>
      <c r="AH170" s="57"/>
      <c r="AI170" s="57"/>
      <c r="AJ170" s="57"/>
      <c r="AK170" s="57"/>
      <c r="AL170" s="190"/>
      <c r="AN170" s="190"/>
    </row>
    <row r="171" spans="1:40" ht="20.25">
      <c r="A171" s="36" t="s">
        <v>182</v>
      </c>
      <c r="B171" s="80"/>
      <c r="C171" s="73"/>
      <c r="D171" s="249"/>
      <c r="E171" s="67">
        <f t="shared" si="53"/>
        <v>14.625</v>
      </c>
      <c r="F171" s="57">
        <f>15-0.375</f>
        <v>14.625</v>
      </c>
      <c r="G171" s="57"/>
      <c r="H171" s="57"/>
      <c r="I171" s="57"/>
      <c r="J171" s="57"/>
      <c r="K171" s="57"/>
      <c r="L171" s="57"/>
      <c r="M171" s="57"/>
      <c r="N171" s="57"/>
      <c r="O171" s="57"/>
      <c r="P171" s="67">
        <f t="shared" si="54"/>
        <v>14.625</v>
      </c>
      <c r="Q171" s="57">
        <v>14.625</v>
      </c>
      <c r="R171" s="57"/>
      <c r="S171" s="57"/>
      <c r="T171" s="57"/>
      <c r="U171" s="57"/>
      <c r="V171" s="57"/>
      <c r="W171" s="57"/>
      <c r="X171" s="57"/>
      <c r="Y171" s="57"/>
      <c r="Z171" s="57"/>
      <c r="AA171" s="67">
        <f t="shared" si="64"/>
        <v>14.625</v>
      </c>
      <c r="AB171" s="57">
        <v>14.625</v>
      </c>
      <c r="AC171" s="57"/>
      <c r="AD171" s="57"/>
      <c r="AE171" s="57"/>
      <c r="AF171" s="57"/>
      <c r="AG171" s="57"/>
      <c r="AH171" s="57"/>
      <c r="AI171" s="57"/>
      <c r="AJ171" s="57"/>
      <c r="AK171" s="57"/>
      <c r="AN171" s="190"/>
    </row>
    <row r="172" spans="1:40" ht="20.25" hidden="1">
      <c r="A172" s="35"/>
      <c r="B172" s="79"/>
      <c r="C172" s="73"/>
      <c r="D172" s="250"/>
      <c r="E172" s="67">
        <f t="shared" si="53"/>
        <v>0</v>
      </c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67">
        <f t="shared" si="54"/>
        <v>0</v>
      </c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67">
        <f t="shared" si="64"/>
        <v>0</v>
      </c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</row>
    <row r="173" spans="1:40" s="60" customFormat="1" ht="31.5">
      <c r="A173" s="27" t="s">
        <v>119</v>
      </c>
      <c r="B173" s="78"/>
      <c r="C173" s="71"/>
      <c r="D173" s="239">
        <v>349</v>
      </c>
      <c r="E173" s="67">
        <f t="shared" si="53"/>
        <v>33.712000000000003</v>
      </c>
      <c r="F173" s="69">
        <f>SUM(F174:F180)</f>
        <v>33.712000000000003</v>
      </c>
      <c r="G173" s="69">
        <f t="shared" ref="G173:O173" si="68">SUM(G174:G180)</f>
        <v>0</v>
      </c>
      <c r="H173" s="69">
        <f t="shared" si="68"/>
        <v>0</v>
      </c>
      <c r="I173" s="69">
        <f t="shared" si="68"/>
        <v>0</v>
      </c>
      <c r="J173" s="69">
        <f t="shared" si="68"/>
        <v>0</v>
      </c>
      <c r="K173" s="69">
        <f t="shared" si="68"/>
        <v>0</v>
      </c>
      <c r="L173" s="69">
        <f t="shared" si="68"/>
        <v>0</v>
      </c>
      <c r="M173" s="69">
        <f t="shared" si="68"/>
        <v>0</v>
      </c>
      <c r="N173" s="69">
        <f t="shared" si="68"/>
        <v>0</v>
      </c>
      <c r="O173" s="69">
        <f t="shared" si="68"/>
        <v>0</v>
      </c>
      <c r="P173" s="67">
        <f t="shared" si="54"/>
        <v>33.712000000000003</v>
      </c>
      <c r="Q173" s="69">
        <f>SUM(Q174:Q180)</f>
        <v>33.712000000000003</v>
      </c>
      <c r="R173" s="69">
        <f t="shared" ref="R173:Z173" si="69">SUM(R174:R180)</f>
        <v>0</v>
      </c>
      <c r="S173" s="69">
        <f t="shared" si="69"/>
        <v>0</v>
      </c>
      <c r="T173" s="69">
        <f t="shared" si="69"/>
        <v>0</v>
      </c>
      <c r="U173" s="69">
        <f t="shared" si="69"/>
        <v>0</v>
      </c>
      <c r="V173" s="69">
        <f t="shared" si="69"/>
        <v>0</v>
      </c>
      <c r="W173" s="69">
        <f t="shared" si="69"/>
        <v>0</v>
      </c>
      <c r="X173" s="69">
        <f t="shared" si="69"/>
        <v>0</v>
      </c>
      <c r="Y173" s="69">
        <f t="shared" si="69"/>
        <v>0</v>
      </c>
      <c r="Z173" s="69">
        <f t="shared" si="69"/>
        <v>0</v>
      </c>
      <c r="AA173" s="67">
        <f t="shared" si="64"/>
        <v>33.712000000000003</v>
      </c>
      <c r="AB173" s="69">
        <f>SUM(AB174:AB180)</f>
        <v>33.712000000000003</v>
      </c>
      <c r="AC173" s="69">
        <f t="shared" ref="AC173:AK173" si="70">SUM(AC174:AC180)</f>
        <v>0</v>
      </c>
      <c r="AD173" s="69">
        <f t="shared" si="70"/>
        <v>0</v>
      </c>
      <c r="AE173" s="69">
        <f t="shared" si="70"/>
        <v>0</v>
      </c>
      <c r="AF173" s="69">
        <f t="shared" si="70"/>
        <v>0</v>
      </c>
      <c r="AG173" s="69">
        <f t="shared" si="70"/>
        <v>0</v>
      </c>
      <c r="AH173" s="69">
        <f t="shared" si="70"/>
        <v>0</v>
      </c>
      <c r="AI173" s="69">
        <f t="shared" si="70"/>
        <v>0</v>
      </c>
      <c r="AJ173" s="69">
        <f t="shared" si="70"/>
        <v>0</v>
      </c>
      <c r="AK173" s="69">
        <f t="shared" si="70"/>
        <v>0</v>
      </c>
    </row>
    <row r="174" spans="1:40" ht="31.5">
      <c r="A174" s="36" t="s">
        <v>120</v>
      </c>
      <c r="B174" s="80"/>
      <c r="C174" s="73"/>
      <c r="D174" s="240"/>
      <c r="E174" s="67">
        <f t="shared" si="53"/>
        <v>10.099</v>
      </c>
      <c r="F174" s="57">
        <f>6.76+3.339-4.3+4.3</f>
        <v>10.099</v>
      </c>
      <c r="G174" s="57"/>
      <c r="H174" s="57"/>
      <c r="I174" s="57"/>
      <c r="J174" s="57"/>
      <c r="K174" s="57"/>
      <c r="L174" s="57"/>
      <c r="M174" s="57"/>
      <c r="N174" s="57"/>
      <c r="O174" s="57"/>
      <c r="P174" s="67">
        <f t="shared" si="54"/>
        <v>10.099</v>
      </c>
      <c r="Q174" s="57">
        <f>3.339+6.76+4.3-4.3</f>
        <v>10.099</v>
      </c>
      <c r="R174" s="57"/>
      <c r="S174" s="57"/>
      <c r="T174" s="57"/>
      <c r="U174" s="57"/>
      <c r="V174" s="57"/>
      <c r="W174" s="57"/>
      <c r="X174" s="57"/>
      <c r="Y174" s="57"/>
      <c r="Z174" s="57"/>
      <c r="AA174" s="67">
        <f t="shared" si="64"/>
        <v>10.099</v>
      </c>
      <c r="AB174" s="57">
        <f>10.099+4.3-4.3</f>
        <v>10.099</v>
      </c>
      <c r="AC174" s="57"/>
      <c r="AD174" s="57"/>
      <c r="AE174" s="57"/>
      <c r="AF174" s="57"/>
      <c r="AG174" s="57"/>
      <c r="AH174" s="57"/>
      <c r="AI174" s="57"/>
      <c r="AJ174" s="57"/>
      <c r="AK174" s="57"/>
      <c r="AL174" s="190"/>
    </row>
    <row r="175" spans="1:40" ht="20.25">
      <c r="A175" s="36" t="s">
        <v>121</v>
      </c>
      <c r="B175" s="80"/>
      <c r="C175" s="73"/>
      <c r="D175" s="240"/>
      <c r="E175" s="67">
        <f t="shared" si="53"/>
        <v>23.613000000000003</v>
      </c>
      <c r="F175" s="57">
        <f>3.195+12.02968+4.08832+4.3</f>
        <v>23.613000000000003</v>
      </c>
      <c r="G175" s="57"/>
      <c r="H175" s="57"/>
      <c r="I175" s="57"/>
      <c r="J175" s="57"/>
      <c r="K175" s="57"/>
      <c r="L175" s="57"/>
      <c r="M175" s="57"/>
      <c r="N175" s="57"/>
      <c r="O175" s="57"/>
      <c r="P175" s="67">
        <f t="shared" si="54"/>
        <v>23.613</v>
      </c>
      <c r="Q175" s="57">
        <f>3.195+16.118+4.3</f>
        <v>23.613</v>
      </c>
      <c r="R175" s="57"/>
      <c r="S175" s="57"/>
      <c r="T175" s="57"/>
      <c r="U175" s="57"/>
      <c r="V175" s="57"/>
      <c r="W175" s="57"/>
      <c r="X175" s="57"/>
      <c r="Y175" s="57"/>
      <c r="Z175" s="57"/>
      <c r="AA175" s="67">
        <f t="shared" si="64"/>
        <v>23.613</v>
      </c>
      <c r="AB175" s="57">
        <f>3.195+16.118+4.3</f>
        <v>23.613</v>
      </c>
      <c r="AC175" s="57"/>
      <c r="AD175" s="57"/>
      <c r="AE175" s="57"/>
      <c r="AF175" s="57"/>
      <c r="AG175" s="57"/>
      <c r="AH175" s="57"/>
      <c r="AI175" s="57"/>
      <c r="AJ175" s="57"/>
      <c r="AK175" s="57"/>
    </row>
    <row r="176" spans="1:40" ht="20.25" hidden="1">
      <c r="A176" s="36" t="s">
        <v>122</v>
      </c>
      <c r="B176" s="80"/>
      <c r="C176" s="73"/>
      <c r="D176" s="240"/>
      <c r="E176" s="67">
        <f t="shared" si="53"/>
        <v>0</v>
      </c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67">
        <f t="shared" si="54"/>
        <v>0</v>
      </c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67">
        <f t="shared" si="64"/>
        <v>0</v>
      </c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</row>
    <row r="177" spans="1:37" ht="20.25" hidden="1">
      <c r="A177" s="36" t="s">
        <v>123</v>
      </c>
      <c r="B177" s="80"/>
      <c r="C177" s="73"/>
      <c r="D177" s="240"/>
      <c r="E177" s="67">
        <f t="shared" si="53"/>
        <v>0</v>
      </c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67">
        <f t="shared" si="54"/>
        <v>0</v>
      </c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67">
        <f t="shared" si="64"/>
        <v>0</v>
      </c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</row>
    <row r="178" spans="1:37" ht="20.25" hidden="1">
      <c r="A178" s="36"/>
      <c r="B178" s="80"/>
      <c r="C178" s="73"/>
      <c r="D178" s="240"/>
      <c r="E178" s="67">
        <f t="shared" si="53"/>
        <v>0</v>
      </c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67">
        <f t="shared" si="54"/>
        <v>0</v>
      </c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67">
        <f t="shared" si="64"/>
        <v>0</v>
      </c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</row>
    <row r="179" spans="1:37" ht="20.25" hidden="1">
      <c r="A179" s="36"/>
      <c r="B179" s="80"/>
      <c r="C179" s="73"/>
      <c r="D179" s="240"/>
      <c r="E179" s="67">
        <f t="shared" si="53"/>
        <v>0</v>
      </c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67">
        <f t="shared" si="54"/>
        <v>0</v>
      </c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67">
        <f t="shared" si="64"/>
        <v>0</v>
      </c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</row>
    <row r="180" spans="1:37" ht="20.25" hidden="1">
      <c r="A180" s="36"/>
      <c r="B180" s="80"/>
      <c r="C180" s="73"/>
      <c r="D180" s="241"/>
      <c r="E180" s="67">
        <f t="shared" si="53"/>
        <v>0</v>
      </c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67">
        <f t="shared" si="54"/>
        <v>0</v>
      </c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67">
        <f t="shared" si="64"/>
        <v>0</v>
      </c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</row>
    <row r="181" spans="1:37" s="64" customFormat="1" ht="20.25" hidden="1">
      <c r="A181" s="62" t="s">
        <v>124</v>
      </c>
      <c r="B181" s="85"/>
      <c r="C181" s="75">
        <v>350</v>
      </c>
      <c r="D181" s="75"/>
      <c r="E181" s="67">
        <f t="shared" si="53"/>
        <v>0</v>
      </c>
      <c r="F181" s="88">
        <f>F182</f>
        <v>0</v>
      </c>
      <c r="G181" s="88">
        <f t="shared" ref="G181:O181" si="71">G182</f>
        <v>0</v>
      </c>
      <c r="H181" s="88">
        <f t="shared" si="71"/>
        <v>0</v>
      </c>
      <c r="I181" s="88">
        <f t="shared" si="71"/>
        <v>0</v>
      </c>
      <c r="J181" s="88">
        <f t="shared" si="71"/>
        <v>0</v>
      </c>
      <c r="K181" s="88">
        <f t="shared" si="71"/>
        <v>0</v>
      </c>
      <c r="L181" s="88">
        <f t="shared" si="71"/>
        <v>0</v>
      </c>
      <c r="M181" s="88">
        <f t="shared" si="71"/>
        <v>0</v>
      </c>
      <c r="N181" s="88">
        <f t="shared" si="71"/>
        <v>0</v>
      </c>
      <c r="O181" s="88">
        <f t="shared" si="71"/>
        <v>0</v>
      </c>
      <c r="P181" s="67">
        <f t="shared" si="54"/>
        <v>0</v>
      </c>
      <c r="Q181" s="88">
        <f>Q182</f>
        <v>0</v>
      </c>
      <c r="R181" s="88">
        <f t="shared" ref="R181:Z181" si="72">R182</f>
        <v>0</v>
      </c>
      <c r="S181" s="88">
        <f t="shared" si="72"/>
        <v>0</v>
      </c>
      <c r="T181" s="88">
        <f t="shared" si="72"/>
        <v>0</v>
      </c>
      <c r="U181" s="88">
        <f t="shared" si="72"/>
        <v>0</v>
      </c>
      <c r="V181" s="88">
        <f t="shared" si="72"/>
        <v>0</v>
      </c>
      <c r="W181" s="88">
        <f t="shared" si="72"/>
        <v>0</v>
      </c>
      <c r="X181" s="88">
        <f t="shared" si="72"/>
        <v>0</v>
      </c>
      <c r="Y181" s="88">
        <f t="shared" si="72"/>
        <v>0</v>
      </c>
      <c r="Z181" s="88">
        <f t="shared" si="72"/>
        <v>0</v>
      </c>
      <c r="AA181" s="67">
        <f t="shared" si="64"/>
        <v>0</v>
      </c>
      <c r="AB181" s="88">
        <f>AB182</f>
        <v>0</v>
      </c>
      <c r="AC181" s="88">
        <f t="shared" ref="AC181:AK181" si="73">AC182</f>
        <v>0</v>
      </c>
      <c r="AD181" s="88">
        <f t="shared" si="73"/>
        <v>0</v>
      </c>
      <c r="AE181" s="88">
        <f t="shared" si="73"/>
        <v>0</v>
      </c>
      <c r="AF181" s="88">
        <f t="shared" si="73"/>
        <v>0</v>
      </c>
      <c r="AG181" s="88">
        <f t="shared" si="73"/>
        <v>0</v>
      </c>
      <c r="AH181" s="88">
        <f t="shared" si="73"/>
        <v>0</v>
      </c>
      <c r="AI181" s="88">
        <f t="shared" si="73"/>
        <v>0</v>
      </c>
      <c r="AJ181" s="88">
        <f t="shared" si="73"/>
        <v>0</v>
      </c>
      <c r="AK181" s="88">
        <f t="shared" si="73"/>
        <v>0</v>
      </c>
    </row>
    <row r="182" spans="1:37" s="60" customFormat="1" ht="45.75" hidden="1" customHeight="1">
      <c r="A182" s="27" t="s">
        <v>125</v>
      </c>
      <c r="B182" s="78"/>
      <c r="C182" s="71"/>
      <c r="D182" s="84">
        <v>353</v>
      </c>
      <c r="E182" s="67">
        <f t="shared" si="53"/>
        <v>0</v>
      </c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67">
        <f t="shared" si="54"/>
        <v>0</v>
      </c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67">
        <f t="shared" si="64"/>
        <v>0</v>
      </c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</row>
    <row r="183" spans="1:37">
      <c r="F183" s="54" t="s">
        <v>157</v>
      </c>
      <c r="P183" s="207">
        <f>9.5004+53.325+275.04934+5.13315+6.12486</f>
        <v>349.13274999999999</v>
      </c>
      <c r="Q183" s="54" t="s">
        <v>170</v>
      </c>
      <c r="AA183" s="190">
        <f>P6-AA6</f>
        <v>0</v>
      </c>
    </row>
    <row r="184" spans="1:37">
      <c r="A184" s="54" t="s">
        <v>158</v>
      </c>
      <c r="F184" s="54" t="s">
        <v>232</v>
      </c>
      <c r="AA184" s="194"/>
    </row>
  </sheetData>
  <sheetProtection sheet="1" objects="1" scenarios="1" formatCells="0" formatColumns="0" formatRows="0"/>
  <mergeCells count="52">
    <mergeCell ref="AK3:AK5"/>
    <mergeCell ref="AF3:AF5"/>
    <mergeCell ref="AG3:AG5"/>
    <mergeCell ref="AH3:AH5"/>
    <mergeCell ref="AI3:AI5"/>
    <mergeCell ref="AJ3:AJ5"/>
    <mergeCell ref="AA3:AA5"/>
    <mergeCell ref="AB3:AB5"/>
    <mergeCell ref="AC3:AC5"/>
    <mergeCell ref="AD3:AD5"/>
    <mergeCell ref="AE3:AE5"/>
    <mergeCell ref="V3:V5"/>
    <mergeCell ref="W3:W5"/>
    <mergeCell ref="X3:X5"/>
    <mergeCell ref="Y3:Y5"/>
    <mergeCell ref="Z3:Z5"/>
    <mergeCell ref="Q3:Q5"/>
    <mergeCell ref="R3:R5"/>
    <mergeCell ref="S3:S5"/>
    <mergeCell ref="T3:T5"/>
    <mergeCell ref="U3:U5"/>
    <mergeCell ref="D111:D117"/>
    <mergeCell ref="D119:D127"/>
    <mergeCell ref="C3:D3"/>
    <mergeCell ref="D8:D10"/>
    <mergeCell ref="D130:D133"/>
    <mergeCell ref="P3:P5"/>
    <mergeCell ref="A1:O2"/>
    <mergeCell ref="A3:A5"/>
    <mergeCell ref="E3:E5"/>
    <mergeCell ref="F3:F5"/>
    <mergeCell ref="G3:G5"/>
    <mergeCell ref="C4:C5"/>
    <mergeCell ref="D4:D5"/>
    <mergeCell ref="H3:H5"/>
    <mergeCell ref="I3:I5"/>
    <mergeCell ref="D173:D180"/>
    <mergeCell ref="B3:B5"/>
    <mergeCell ref="O3:O5"/>
    <mergeCell ref="D35:D65"/>
    <mergeCell ref="D66:D88"/>
    <mergeCell ref="D94:D104"/>
    <mergeCell ref="D89:D93"/>
    <mergeCell ref="J3:J5"/>
    <mergeCell ref="K3:K5"/>
    <mergeCell ref="L3:L5"/>
    <mergeCell ref="M3:M5"/>
    <mergeCell ref="N3:N5"/>
    <mergeCell ref="D12:D14"/>
    <mergeCell ref="D18:D34"/>
    <mergeCell ref="D160:D172"/>
    <mergeCell ref="D106:D110"/>
  </mergeCells>
  <pageMargins left="0.7" right="0.7" top="0.75" bottom="0.75" header="0.3" footer="0.3"/>
  <pageSetup paperSize="9" scale="38" orientation="landscape" horizontalDpi="180" verticalDpi="180" r:id="rId1"/>
  <rowBreaks count="1" manualBreakCount="1">
    <brk id="50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84"/>
  <sheetViews>
    <sheetView showGridLines="0" view="pageBreakPreview" zoomScale="50" zoomScaleNormal="50" zoomScaleSheetLayoutView="50" workbookViewId="0">
      <pane xSplit="4" ySplit="3" topLeftCell="T156" activePane="bottomRight" state="frozen"/>
      <selection pane="topRight" activeCell="E1" sqref="E1"/>
      <selection pane="bottomLeft" activeCell="A4" sqref="A4"/>
      <selection pane="bottomRight" activeCell="AI137" sqref="AI137"/>
    </sheetView>
  </sheetViews>
  <sheetFormatPr defaultRowHeight="15"/>
  <cols>
    <col min="1" max="1" width="72" style="41" customWidth="1"/>
    <col min="2" max="2" width="20.42578125" style="41" customWidth="1"/>
    <col min="3" max="3" width="8.42578125" style="41" customWidth="1"/>
    <col min="4" max="4" width="15.140625" style="41" customWidth="1"/>
    <col min="5" max="6" width="24.28515625" style="125" customWidth="1"/>
    <col min="7" max="7" width="22.42578125" style="41" customWidth="1"/>
    <col min="8" max="8" width="19.5703125" style="41" customWidth="1"/>
    <col min="9" max="9" width="16.7109375" style="41" customWidth="1"/>
    <col min="10" max="10" width="18.140625" style="41" customWidth="1"/>
    <col min="11" max="13" width="14.28515625" style="41" hidden="1" customWidth="1"/>
    <col min="14" max="14" width="15.28515625" style="41" hidden="1" customWidth="1"/>
    <col min="15" max="15" width="22.28515625" style="41" hidden="1" customWidth="1"/>
    <col min="16" max="16" width="15.28515625" style="41" hidden="1" customWidth="1"/>
    <col min="17" max="17" width="16.140625" style="41" hidden="1" customWidth="1"/>
    <col min="18" max="18" width="13.42578125" style="41" hidden="1" customWidth="1"/>
    <col min="19" max="19" width="14.28515625" style="41" hidden="1" customWidth="1"/>
    <col min="20" max="21" width="25.7109375" style="125" customWidth="1"/>
    <col min="22" max="22" width="24" style="41" customWidth="1"/>
    <col min="23" max="23" width="24.5703125" style="41" customWidth="1"/>
    <col min="24" max="24" width="20.42578125" style="41" customWidth="1"/>
    <col min="25" max="25" width="14.28515625" style="41" hidden="1" customWidth="1"/>
    <col min="26" max="26" width="15.42578125" style="41" customWidth="1"/>
    <col min="27" max="29" width="14.28515625" style="41" hidden="1" customWidth="1"/>
    <col min="30" max="30" width="22.7109375" style="41" hidden="1" customWidth="1"/>
    <col min="31" max="31" width="15.85546875" style="41" hidden="1" customWidth="1"/>
    <col min="32" max="34" width="14.28515625" style="41" hidden="1" customWidth="1"/>
    <col min="35" max="36" width="20.85546875" style="125" customWidth="1"/>
    <col min="37" max="37" width="22.5703125" style="41" customWidth="1"/>
    <col min="38" max="38" width="20.5703125" style="41" customWidth="1"/>
    <col min="39" max="39" width="17.5703125" style="41" customWidth="1"/>
    <col min="40" max="40" width="14.28515625" style="41" hidden="1" customWidth="1"/>
    <col min="41" max="41" width="16.28515625" style="41" customWidth="1"/>
    <col min="42" max="44" width="14.28515625" style="41" hidden="1" customWidth="1"/>
    <col min="45" max="45" width="22.140625" style="41" hidden="1" customWidth="1"/>
    <col min="46" max="49" width="14.28515625" style="41" hidden="1" customWidth="1"/>
    <col min="50" max="50" width="23.42578125" style="41" customWidth="1"/>
    <col min="51" max="16384" width="9.140625" style="41"/>
  </cols>
  <sheetData>
    <row r="1" spans="1:50" ht="134.25" customHeight="1">
      <c r="A1" s="242" t="s">
        <v>234</v>
      </c>
      <c r="B1" s="30" t="s">
        <v>132</v>
      </c>
      <c r="C1" s="280" t="s">
        <v>13</v>
      </c>
      <c r="D1" s="281"/>
      <c r="E1" s="266" t="s">
        <v>136</v>
      </c>
      <c r="F1" s="266" t="s">
        <v>214</v>
      </c>
      <c r="G1" s="245" t="s">
        <v>213</v>
      </c>
      <c r="H1" s="263" t="s">
        <v>145</v>
      </c>
      <c r="I1" s="269" t="s">
        <v>146</v>
      </c>
      <c r="J1" s="258" t="s">
        <v>166</v>
      </c>
      <c r="K1" s="263"/>
      <c r="L1" s="263"/>
      <c r="M1" s="263"/>
      <c r="N1" s="263"/>
      <c r="O1" s="263"/>
      <c r="P1" s="263"/>
      <c r="Q1" s="263"/>
      <c r="R1" s="263"/>
      <c r="S1" s="263"/>
      <c r="T1" s="266" t="s">
        <v>137</v>
      </c>
      <c r="U1" s="266" t="s">
        <v>214</v>
      </c>
      <c r="V1" s="245" t="s">
        <v>196</v>
      </c>
      <c r="W1" s="263" t="s">
        <v>145</v>
      </c>
      <c r="X1" s="269" t="s">
        <v>146</v>
      </c>
      <c r="Y1" s="258"/>
      <c r="Z1" s="258" t="s">
        <v>166</v>
      </c>
      <c r="AA1" s="263"/>
      <c r="AB1" s="263"/>
      <c r="AC1" s="263"/>
      <c r="AD1" s="263"/>
      <c r="AE1" s="263"/>
      <c r="AF1" s="263"/>
      <c r="AG1" s="263"/>
      <c r="AH1" s="263"/>
      <c r="AI1" s="266" t="s">
        <v>138</v>
      </c>
      <c r="AJ1" s="266" t="s">
        <v>214</v>
      </c>
      <c r="AK1" s="245" t="s">
        <v>196</v>
      </c>
      <c r="AL1" s="263" t="s">
        <v>145</v>
      </c>
      <c r="AM1" s="269" t="s">
        <v>146</v>
      </c>
      <c r="AN1" s="258"/>
      <c r="AO1" s="258" t="s">
        <v>166</v>
      </c>
      <c r="AP1" s="263"/>
      <c r="AQ1" s="263"/>
      <c r="AR1" s="263"/>
      <c r="AS1" s="263"/>
      <c r="AT1" s="263"/>
      <c r="AU1" s="263"/>
      <c r="AV1" s="263"/>
      <c r="AW1" s="263"/>
    </row>
    <row r="2" spans="1:50" ht="66.75" customHeight="1">
      <c r="A2" s="243"/>
      <c r="B2" s="282"/>
      <c r="C2" s="245" t="s">
        <v>14</v>
      </c>
      <c r="D2" s="245" t="s">
        <v>15</v>
      </c>
      <c r="E2" s="267"/>
      <c r="F2" s="272"/>
      <c r="G2" s="246"/>
      <c r="H2" s="264"/>
      <c r="I2" s="270"/>
      <c r="J2" s="259"/>
      <c r="K2" s="264"/>
      <c r="L2" s="264"/>
      <c r="M2" s="264"/>
      <c r="N2" s="264"/>
      <c r="O2" s="264"/>
      <c r="P2" s="264"/>
      <c r="Q2" s="264"/>
      <c r="R2" s="264"/>
      <c r="S2" s="264"/>
      <c r="T2" s="267"/>
      <c r="U2" s="272"/>
      <c r="V2" s="246"/>
      <c r="W2" s="264"/>
      <c r="X2" s="270"/>
      <c r="Y2" s="259"/>
      <c r="Z2" s="259"/>
      <c r="AA2" s="264"/>
      <c r="AB2" s="264"/>
      <c r="AC2" s="264"/>
      <c r="AD2" s="264"/>
      <c r="AE2" s="264"/>
      <c r="AF2" s="264"/>
      <c r="AG2" s="264"/>
      <c r="AH2" s="264"/>
      <c r="AI2" s="267"/>
      <c r="AJ2" s="272"/>
      <c r="AK2" s="246"/>
      <c r="AL2" s="264"/>
      <c r="AM2" s="270"/>
      <c r="AN2" s="259"/>
      <c r="AO2" s="259"/>
      <c r="AP2" s="264"/>
      <c r="AQ2" s="264"/>
      <c r="AR2" s="264"/>
      <c r="AS2" s="264"/>
      <c r="AT2" s="264"/>
      <c r="AU2" s="264"/>
      <c r="AV2" s="264"/>
      <c r="AW2" s="264"/>
    </row>
    <row r="3" spans="1:50" ht="161.25" customHeight="1">
      <c r="A3" s="265"/>
      <c r="B3" s="283"/>
      <c r="C3" s="247"/>
      <c r="D3" s="247"/>
      <c r="E3" s="268"/>
      <c r="F3" s="273"/>
      <c r="G3" s="247"/>
      <c r="H3" s="265"/>
      <c r="I3" s="271"/>
      <c r="J3" s="260"/>
      <c r="K3" s="265"/>
      <c r="L3" s="265"/>
      <c r="M3" s="265"/>
      <c r="N3" s="265"/>
      <c r="O3" s="265"/>
      <c r="P3" s="265"/>
      <c r="Q3" s="265"/>
      <c r="R3" s="265"/>
      <c r="S3" s="265"/>
      <c r="T3" s="268"/>
      <c r="U3" s="273"/>
      <c r="V3" s="247"/>
      <c r="W3" s="265"/>
      <c r="X3" s="271"/>
      <c r="Y3" s="260"/>
      <c r="Z3" s="260"/>
      <c r="AA3" s="265"/>
      <c r="AB3" s="265"/>
      <c r="AC3" s="265"/>
      <c r="AD3" s="265"/>
      <c r="AE3" s="265"/>
      <c r="AF3" s="265"/>
      <c r="AG3" s="265"/>
      <c r="AH3" s="265"/>
      <c r="AI3" s="268"/>
      <c r="AJ3" s="273"/>
      <c r="AK3" s="247"/>
      <c r="AL3" s="265"/>
      <c r="AM3" s="271"/>
      <c r="AN3" s="260"/>
      <c r="AO3" s="260"/>
      <c r="AP3" s="265"/>
      <c r="AQ3" s="265"/>
      <c r="AR3" s="265"/>
      <c r="AS3" s="265"/>
      <c r="AT3" s="265"/>
      <c r="AU3" s="265"/>
      <c r="AV3" s="265"/>
      <c r="AW3" s="265"/>
    </row>
    <row r="4" spans="1:50" s="93" customFormat="1" ht="120" customHeight="1">
      <c r="A4" s="91" t="s">
        <v>133</v>
      </c>
      <c r="B4" s="92">
        <v>622</v>
      </c>
      <c r="C4" s="87"/>
      <c r="D4" s="87"/>
      <c r="E4" s="100">
        <f>SUM(G4:S4)+F4</f>
        <v>9354.9640299999992</v>
      </c>
      <c r="F4" s="100">
        <f>F136</f>
        <v>4.9340299999999999</v>
      </c>
      <c r="G4" s="100">
        <f>G5+G13+G103+G116+G136</f>
        <v>4929.1000000000004</v>
      </c>
      <c r="H4" s="100">
        <f t="shared" ref="H4:S4" si="0">H5+H13+H103+H116+H136</f>
        <v>4300</v>
      </c>
      <c r="I4" s="100">
        <f t="shared" si="0"/>
        <v>120.8</v>
      </c>
      <c r="J4" s="100">
        <f t="shared" si="0"/>
        <v>0.13</v>
      </c>
      <c r="K4" s="100">
        <f t="shared" si="0"/>
        <v>0</v>
      </c>
      <c r="L4" s="100">
        <f t="shared" si="0"/>
        <v>0</v>
      </c>
      <c r="M4" s="100">
        <f t="shared" si="0"/>
        <v>0</v>
      </c>
      <c r="N4" s="100">
        <f t="shared" si="0"/>
        <v>0</v>
      </c>
      <c r="O4" s="100">
        <f t="shared" si="0"/>
        <v>0</v>
      </c>
      <c r="P4" s="100">
        <f t="shared" si="0"/>
        <v>0</v>
      </c>
      <c r="Q4" s="100">
        <f t="shared" si="0"/>
        <v>0</v>
      </c>
      <c r="R4" s="100">
        <f t="shared" si="0"/>
        <v>0</v>
      </c>
      <c r="S4" s="100">
        <f t="shared" si="0"/>
        <v>0</v>
      </c>
      <c r="T4" s="100">
        <f>U4+V4+W4+X4+Z4</f>
        <v>9354.9111400000002</v>
      </c>
      <c r="U4" s="100">
        <f>U152</f>
        <v>4.9340299999999999</v>
      </c>
      <c r="V4" s="100">
        <f>V5+V13+V103+V116+V136</f>
        <v>4929.1000000000004</v>
      </c>
      <c r="W4" s="100">
        <f t="shared" ref="W4:AH4" si="1">W5+W13+W103+W116+W136</f>
        <v>4300</v>
      </c>
      <c r="X4" s="100">
        <f t="shared" si="1"/>
        <v>120.75310999999999</v>
      </c>
      <c r="Y4" s="100">
        <f t="shared" si="1"/>
        <v>0</v>
      </c>
      <c r="Z4" s="100">
        <f t="shared" si="1"/>
        <v>0.124</v>
      </c>
      <c r="AA4" s="100">
        <f t="shared" si="1"/>
        <v>0</v>
      </c>
      <c r="AB4" s="100">
        <f t="shared" si="1"/>
        <v>0</v>
      </c>
      <c r="AC4" s="100">
        <f t="shared" si="1"/>
        <v>0</v>
      </c>
      <c r="AD4" s="100">
        <f t="shared" si="1"/>
        <v>0</v>
      </c>
      <c r="AE4" s="100">
        <f t="shared" si="1"/>
        <v>0</v>
      </c>
      <c r="AF4" s="100">
        <f t="shared" si="1"/>
        <v>0</v>
      </c>
      <c r="AG4" s="100">
        <f t="shared" si="1"/>
        <v>0</v>
      </c>
      <c r="AH4" s="100">
        <f t="shared" si="1"/>
        <v>0</v>
      </c>
      <c r="AI4" s="100">
        <f>SUM(AK4:AW4)+AJ4</f>
        <v>9354.9111400000002</v>
      </c>
      <c r="AJ4" s="100">
        <f>AJ136</f>
        <v>4.9340299999999999</v>
      </c>
      <c r="AK4" s="100">
        <f>AK5+AK13+AK103+AK116+AK136</f>
        <v>4929.1000000000004</v>
      </c>
      <c r="AL4" s="100">
        <f t="shared" ref="AL4:AW4" si="2">AL5+AL13+AL103+AL116+AL136</f>
        <v>4300</v>
      </c>
      <c r="AM4" s="100">
        <f t="shared" si="2"/>
        <v>120.75310999999999</v>
      </c>
      <c r="AN4" s="100">
        <f t="shared" si="2"/>
        <v>0</v>
      </c>
      <c r="AO4" s="100">
        <f t="shared" si="2"/>
        <v>0.124</v>
      </c>
      <c r="AP4" s="100">
        <f t="shared" si="2"/>
        <v>0</v>
      </c>
      <c r="AQ4" s="100">
        <f t="shared" si="2"/>
        <v>0</v>
      </c>
      <c r="AR4" s="100">
        <f t="shared" si="2"/>
        <v>0</v>
      </c>
      <c r="AS4" s="100">
        <f t="shared" si="2"/>
        <v>0</v>
      </c>
      <c r="AT4" s="100">
        <f t="shared" si="2"/>
        <v>0</v>
      </c>
      <c r="AU4" s="100">
        <f t="shared" si="2"/>
        <v>0</v>
      </c>
      <c r="AV4" s="100">
        <f t="shared" si="2"/>
        <v>0</v>
      </c>
      <c r="AW4" s="100">
        <f t="shared" si="2"/>
        <v>0</v>
      </c>
      <c r="AX4" s="202"/>
    </row>
    <row r="5" spans="1:50" s="90" customFormat="1" ht="24.75" customHeight="1">
      <c r="A5" s="89" t="s">
        <v>17</v>
      </c>
      <c r="B5" s="89"/>
      <c r="C5" s="103">
        <v>210</v>
      </c>
      <c r="D5" s="104"/>
      <c r="E5" s="100">
        <f t="shared" ref="E5:E68" si="3">SUM(G5:S5)</f>
        <v>734.92490999999995</v>
      </c>
      <c r="F5" s="100"/>
      <c r="G5" s="101">
        <f>G6+G9+G10</f>
        <v>613.99491</v>
      </c>
      <c r="H5" s="101">
        <f t="shared" ref="H5:S5" si="4">H6+H9+H10</f>
        <v>0</v>
      </c>
      <c r="I5" s="101">
        <f t="shared" si="4"/>
        <v>120.8</v>
      </c>
      <c r="J5" s="101">
        <f t="shared" si="4"/>
        <v>0.13</v>
      </c>
      <c r="K5" s="101">
        <f t="shared" si="4"/>
        <v>0</v>
      </c>
      <c r="L5" s="101">
        <f t="shared" si="4"/>
        <v>0</v>
      </c>
      <c r="M5" s="101">
        <f t="shared" si="4"/>
        <v>0</v>
      </c>
      <c r="N5" s="101">
        <f t="shared" si="4"/>
        <v>0</v>
      </c>
      <c r="O5" s="101">
        <f t="shared" si="4"/>
        <v>0</v>
      </c>
      <c r="P5" s="101">
        <f t="shared" si="4"/>
        <v>0</v>
      </c>
      <c r="Q5" s="101">
        <f t="shared" si="4"/>
        <v>0</v>
      </c>
      <c r="R5" s="101">
        <f t="shared" si="4"/>
        <v>0</v>
      </c>
      <c r="S5" s="101">
        <f t="shared" si="4"/>
        <v>0</v>
      </c>
      <c r="T5" s="100">
        <f t="shared" ref="T5:T68" si="5">SUM(V5:AH5)</f>
        <v>734.87202000000002</v>
      </c>
      <c r="U5" s="100"/>
      <c r="V5" s="101">
        <f>V6+V9+V10</f>
        <v>613.99491</v>
      </c>
      <c r="W5" s="101">
        <f t="shared" ref="W5:AH5" si="6">W6+W9+W10</f>
        <v>0</v>
      </c>
      <c r="X5" s="101">
        <f t="shared" si="6"/>
        <v>120.75310999999999</v>
      </c>
      <c r="Y5" s="101">
        <f t="shared" si="6"/>
        <v>0</v>
      </c>
      <c r="Z5" s="101">
        <f t="shared" si="6"/>
        <v>0.124</v>
      </c>
      <c r="AA5" s="101">
        <f t="shared" si="6"/>
        <v>0</v>
      </c>
      <c r="AB5" s="101">
        <f t="shared" si="6"/>
        <v>0</v>
      </c>
      <c r="AC5" s="101">
        <f t="shared" si="6"/>
        <v>0</v>
      </c>
      <c r="AD5" s="101">
        <f t="shared" si="6"/>
        <v>0</v>
      </c>
      <c r="AE5" s="101">
        <f t="shared" si="6"/>
        <v>0</v>
      </c>
      <c r="AF5" s="101">
        <f t="shared" si="6"/>
        <v>0</v>
      </c>
      <c r="AG5" s="101">
        <f t="shared" si="6"/>
        <v>0</v>
      </c>
      <c r="AH5" s="101">
        <f t="shared" si="6"/>
        <v>0</v>
      </c>
      <c r="AI5" s="100">
        <f>SUM(AK5:AW5)</f>
        <v>734.87202000000002</v>
      </c>
      <c r="AJ5" s="100"/>
      <c r="AK5" s="101">
        <f t="shared" ref="AK5:AW5" si="7">AK6+AK9+AK10</f>
        <v>613.99491</v>
      </c>
      <c r="AL5" s="101">
        <f t="shared" si="7"/>
        <v>0</v>
      </c>
      <c r="AM5" s="101">
        <f t="shared" si="7"/>
        <v>120.75310999999999</v>
      </c>
      <c r="AN5" s="101">
        <f t="shared" si="7"/>
        <v>0</v>
      </c>
      <c r="AO5" s="101">
        <f t="shared" si="7"/>
        <v>0.124</v>
      </c>
      <c r="AP5" s="101">
        <f t="shared" si="7"/>
        <v>0</v>
      </c>
      <c r="AQ5" s="101">
        <f t="shared" si="7"/>
        <v>0</v>
      </c>
      <c r="AR5" s="101">
        <f t="shared" si="7"/>
        <v>0</v>
      </c>
      <c r="AS5" s="101">
        <f t="shared" si="7"/>
        <v>0</v>
      </c>
      <c r="AT5" s="101">
        <f t="shared" si="7"/>
        <v>0</v>
      </c>
      <c r="AU5" s="101">
        <f t="shared" si="7"/>
        <v>0</v>
      </c>
      <c r="AV5" s="101">
        <f t="shared" si="7"/>
        <v>0</v>
      </c>
      <c r="AW5" s="101">
        <f t="shared" si="7"/>
        <v>0</v>
      </c>
      <c r="AX5" s="204"/>
    </row>
    <row r="6" spans="1:50" s="94" customFormat="1" ht="20.25">
      <c r="A6" s="42" t="s">
        <v>18</v>
      </c>
      <c r="B6" s="42"/>
      <c r="C6" s="105"/>
      <c r="D6" s="277">
        <v>211</v>
      </c>
      <c r="E6" s="100">
        <f t="shared" si="3"/>
        <v>562.79739999999993</v>
      </c>
      <c r="F6" s="100"/>
      <c r="G6" s="206">
        <f>SUM(G7:G8)</f>
        <v>469.86739999999998</v>
      </c>
      <c r="H6" s="102">
        <f t="shared" ref="H6:S6" si="8">SUM(H7:H8)</f>
        <v>0</v>
      </c>
      <c r="I6" s="102">
        <f t="shared" si="8"/>
        <v>92.8</v>
      </c>
      <c r="J6" s="102">
        <f t="shared" si="8"/>
        <v>0.13</v>
      </c>
      <c r="K6" s="102">
        <f t="shared" si="8"/>
        <v>0</v>
      </c>
      <c r="L6" s="102">
        <f t="shared" si="8"/>
        <v>0</v>
      </c>
      <c r="M6" s="102">
        <f t="shared" si="8"/>
        <v>0</v>
      </c>
      <c r="N6" s="102">
        <f t="shared" si="8"/>
        <v>0</v>
      </c>
      <c r="O6" s="102">
        <f t="shared" si="8"/>
        <v>0</v>
      </c>
      <c r="P6" s="102">
        <f t="shared" si="8"/>
        <v>0</v>
      </c>
      <c r="Q6" s="102">
        <f t="shared" si="8"/>
        <v>0</v>
      </c>
      <c r="R6" s="102">
        <f t="shared" si="8"/>
        <v>0</v>
      </c>
      <c r="S6" s="102">
        <f t="shared" si="8"/>
        <v>0</v>
      </c>
      <c r="T6" s="100">
        <f t="shared" si="5"/>
        <v>562.78378999999995</v>
      </c>
      <c r="U6" s="100"/>
      <c r="V6" s="206">
        <f>SUM(V7:V8)</f>
        <v>469.86739999999998</v>
      </c>
      <c r="W6" s="102">
        <f t="shared" ref="W6:AH6" si="9">SUM(W7:W8)</f>
        <v>0</v>
      </c>
      <c r="X6" s="102">
        <f t="shared" si="9"/>
        <v>92.792389999999997</v>
      </c>
      <c r="Y6" s="102">
        <f t="shared" si="9"/>
        <v>0</v>
      </c>
      <c r="Z6" s="102">
        <f t="shared" si="9"/>
        <v>0.124</v>
      </c>
      <c r="AA6" s="102">
        <f t="shared" si="9"/>
        <v>0</v>
      </c>
      <c r="AB6" s="102">
        <f t="shared" si="9"/>
        <v>0</v>
      </c>
      <c r="AC6" s="102">
        <f t="shared" si="9"/>
        <v>0</v>
      </c>
      <c r="AD6" s="102">
        <f t="shared" si="9"/>
        <v>0</v>
      </c>
      <c r="AE6" s="102">
        <f t="shared" si="9"/>
        <v>0</v>
      </c>
      <c r="AF6" s="102">
        <f t="shared" si="9"/>
        <v>0</v>
      </c>
      <c r="AG6" s="102">
        <f t="shared" si="9"/>
        <v>0</v>
      </c>
      <c r="AH6" s="102">
        <f t="shared" si="9"/>
        <v>0</v>
      </c>
      <c r="AI6" s="100">
        <f>SUM(AK6:AW6)</f>
        <v>562.78378999999995</v>
      </c>
      <c r="AJ6" s="100"/>
      <c r="AK6" s="206">
        <f t="shared" ref="AK6:AW6" si="10">SUM(AK7:AK8)</f>
        <v>469.86739999999998</v>
      </c>
      <c r="AL6" s="102">
        <f t="shared" si="10"/>
        <v>0</v>
      </c>
      <c r="AM6" s="102">
        <f t="shared" si="10"/>
        <v>92.792389999999997</v>
      </c>
      <c r="AN6" s="102">
        <f t="shared" si="10"/>
        <v>0</v>
      </c>
      <c r="AO6" s="102">
        <f t="shared" si="10"/>
        <v>0.124</v>
      </c>
      <c r="AP6" s="102">
        <f t="shared" si="10"/>
        <v>0</v>
      </c>
      <c r="AQ6" s="102">
        <f t="shared" si="10"/>
        <v>0</v>
      </c>
      <c r="AR6" s="102">
        <f t="shared" si="10"/>
        <v>0</v>
      </c>
      <c r="AS6" s="102">
        <f t="shared" si="10"/>
        <v>0</v>
      </c>
      <c r="AT6" s="102">
        <f t="shared" si="10"/>
        <v>0</v>
      </c>
      <c r="AU6" s="102">
        <f t="shared" si="10"/>
        <v>0</v>
      </c>
      <c r="AV6" s="102">
        <f t="shared" si="10"/>
        <v>0</v>
      </c>
      <c r="AW6" s="102">
        <f t="shared" si="10"/>
        <v>0</v>
      </c>
      <c r="AX6" s="203"/>
    </row>
    <row r="7" spans="1:50" ht="20.25">
      <c r="A7" s="44" t="s">
        <v>19</v>
      </c>
      <c r="B7" s="43"/>
      <c r="C7" s="106"/>
      <c r="D7" s="278"/>
      <c r="E7" s="100">
        <f t="shared" si="3"/>
        <v>195.08994999999999</v>
      </c>
      <c r="F7" s="100"/>
      <c r="G7" s="99">
        <v>102.15994999999999</v>
      </c>
      <c r="H7" s="99"/>
      <c r="I7" s="99">
        <v>92.8</v>
      </c>
      <c r="J7" s="98">
        <f>0.1+0.03</f>
        <v>0.13</v>
      </c>
      <c r="K7" s="98"/>
      <c r="L7" s="98"/>
      <c r="M7" s="98"/>
      <c r="N7" s="98"/>
      <c r="O7" s="98"/>
      <c r="P7" s="98"/>
      <c r="Q7" s="98"/>
      <c r="R7" s="98"/>
      <c r="S7" s="98"/>
      <c r="T7" s="100">
        <f t="shared" si="5"/>
        <v>195.07633999999999</v>
      </c>
      <c r="U7" s="100"/>
      <c r="V7" s="99">
        <v>102.15994999999999</v>
      </c>
      <c r="W7" s="99"/>
      <c r="X7" s="99">
        <f>50.4+5.1+7.8+11.8+17.69239</f>
        <v>92.792389999999997</v>
      </c>
      <c r="Y7" s="98"/>
      <c r="Z7" s="98">
        <f>0.007+0.007+0.007+0.007+0.017+0.022+0.007+0.01+0.016+0.024</f>
        <v>0.124</v>
      </c>
      <c r="AA7" s="98"/>
      <c r="AB7" s="98"/>
      <c r="AC7" s="98"/>
      <c r="AD7" s="98"/>
      <c r="AE7" s="98"/>
      <c r="AF7" s="98"/>
      <c r="AG7" s="98"/>
      <c r="AH7" s="98"/>
      <c r="AI7" s="100">
        <f>SUM(AK7:AW7)</f>
        <v>195.07633999999999</v>
      </c>
      <c r="AJ7" s="100"/>
      <c r="AK7" s="99">
        <f>7.5+75.50695+19.153</f>
        <v>102.15995000000001</v>
      </c>
      <c r="AL7" s="99"/>
      <c r="AM7" s="99">
        <f>49.50529+5.9+7.8+11.8+17.7871</f>
        <v>92.792389999999997</v>
      </c>
      <c r="AN7" s="98"/>
      <c r="AO7" s="98">
        <v>0.124</v>
      </c>
      <c r="AP7" s="98"/>
      <c r="AQ7" s="98"/>
      <c r="AR7" s="98"/>
      <c r="AS7" s="98"/>
      <c r="AT7" s="98"/>
      <c r="AU7" s="98"/>
      <c r="AV7" s="98"/>
      <c r="AW7" s="98"/>
      <c r="AX7" s="195"/>
    </row>
    <row r="8" spans="1:50" ht="20.25">
      <c r="A8" s="44" t="s">
        <v>197</v>
      </c>
      <c r="B8" s="43"/>
      <c r="C8" s="106"/>
      <c r="D8" s="279"/>
      <c r="E8" s="100">
        <f t="shared" si="3"/>
        <v>367.70744999999999</v>
      </c>
      <c r="F8" s="100"/>
      <c r="G8" s="99">
        <v>367.70744999999999</v>
      </c>
      <c r="H8" s="99"/>
      <c r="I8" s="99"/>
      <c r="J8" s="98"/>
      <c r="K8" s="98"/>
      <c r="L8" s="98"/>
      <c r="M8" s="98"/>
      <c r="N8" s="98"/>
      <c r="O8" s="98"/>
      <c r="P8" s="98"/>
      <c r="Q8" s="98"/>
      <c r="R8" s="98"/>
      <c r="S8" s="98"/>
      <c r="T8" s="100">
        <f t="shared" si="5"/>
        <v>367.70744999999999</v>
      </c>
      <c r="U8" s="100"/>
      <c r="V8" s="99">
        <v>367.70744999999999</v>
      </c>
      <c r="W8" s="99"/>
      <c r="X8" s="99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100">
        <f t="shared" ref="AI8:AI68" si="11">SUM(AK8:AW8)</f>
        <v>367.70744999999999</v>
      </c>
      <c r="AJ8" s="100"/>
      <c r="AK8" s="99">
        <f>20.9722+251.47657+95.25868</f>
        <v>367.70744999999999</v>
      </c>
      <c r="AL8" s="99"/>
      <c r="AM8" s="99"/>
      <c r="AN8" s="98"/>
      <c r="AO8" s="98"/>
      <c r="AP8" s="98"/>
      <c r="AQ8" s="98"/>
      <c r="AR8" s="98"/>
      <c r="AS8" s="98"/>
      <c r="AT8" s="98"/>
      <c r="AU8" s="98"/>
      <c r="AV8" s="98"/>
      <c r="AW8" s="98"/>
    </row>
    <row r="9" spans="1:50" s="94" customFormat="1" ht="31.5">
      <c r="A9" s="42" t="s">
        <v>20</v>
      </c>
      <c r="B9" s="42"/>
      <c r="C9" s="105"/>
      <c r="D9" s="107">
        <v>212</v>
      </c>
      <c r="E9" s="100">
        <f t="shared" si="3"/>
        <v>0</v>
      </c>
      <c r="F9" s="100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100">
        <f t="shared" si="5"/>
        <v>0</v>
      </c>
      <c r="U9" s="100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100">
        <f t="shared" si="11"/>
        <v>0</v>
      </c>
      <c r="AJ9" s="100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</row>
    <row r="10" spans="1:50" s="94" customFormat="1" ht="20.25">
      <c r="A10" s="42" t="s">
        <v>21</v>
      </c>
      <c r="B10" s="42"/>
      <c r="C10" s="105"/>
      <c r="D10" s="277">
        <v>213</v>
      </c>
      <c r="E10" s="100">
        <f t="shared" si="3"/>
        <v>172.12751</v>
      </c>
      <c r="F10" s="100"/>
      <c r="G10" s="102">
        <f>SUM(G11:G12)</f>
        <v>144.12751</v>
      </c>
      <c r="H10" s="102">
        <f t="shared" ref="H10:S10" si="12">SUM(H11:H12)</f>
        <v>0</v>
      </c>
      <c r="I10" s="102">
        <f t="shared" si="12"/>
        <v>28</v>
      </c>
      <c r="J10" s="102">
        <f t="shared" si="12"/>
        <v>0</v>
      </c>
      <c r="K10" s="102">
        <f t="shared" si="12"/>
        <v>0</v>
      </c>
      <c r="L10" s="102">
        <f t="shared" si="12"/>
        <v>0</v>
      </c>
      <c r="M10" s="102">
        <f t="shared" si="12"/>
        <v>0</v>
      </c>
      <c r="N10" s="102">
        <f t="shared" si="12"/>
        <v>0</v>
      </c>
      <c r="O10" s="102">
        <f t="shared" si="12"/>
        <v>0</v>
      </c>
      <c r="P10" s="102">
        <f t="shared" si="12"/>
        <v>0</v>
      </c>
      <c r="Q10" s="102">
        <f t="shared" si="12"/>
        <v>0</v>
      </c>
      <c r="R10" s="102">
        <f t="shared" si="12"/>
        <v>0</v>
      </c>
      <c r="S10" s="102">
        <f t="shared" si="12"/>
        <v>0</v>
      </c>
      <c r="T10" s="100">
        <f t="shared" si="5"/>
        <v>172.08823000000001</v>
      </c>
      <c r="U10" s="100"/>
      <c r="V10" s="102">
        <f>SUM(V11:V12)</f>
        <v>144.12751</v>
      </c>
      <c r="W10" s="102">
        <f t="shared" ref="W10:AH10" si="13">SUM(W11:W12)</f>
        <v>0</v>
      </c>
      <c r="X10" s="102">
        <f t="shared" si="13"/>
        <v>27.960720000000002</v>
      </c>
      <c r="Y10" s="102">
        <f t="shared" si="13"/>
        <v>0</v>
      </c>
      <c r="Z10" s="102">
        <f t="shared" si="13"/>
        <v>0</v>
      </c>
      <c r="AA10" s="102">
        <f t="shared" si="13"/>
        <v>0</v>
      </c>
      <c r="AB10" s="102">
        <f t="shared" si="13"/>
        <v>0</v>
      </c>
      <c r="AC10" s="102">
        <f t="shared" si="13"/>
        <v>0</v>
      </c>
      <c r="AD10" s="102">
        <f t="shared" si="13"/>
        <v>0</v>
      </c>
      <c r="AE10" s="102">
        <f t="shared" si="13"/>
        <v>0</v>
      </c>
      <c r="AF10" s="102">
        <f t="shared" si="13"/>
        <v>0</v>
      </c>
      <c r="AG10" s="102">
        <f t="shared" si="13"/>
        <v>0</v>
      </c>
      <c r="AH10" s="102">
        <f t="shared" si="13"/>
        <v>0</v>
      </c>
      <c r="AI10" s="100">
        <f t="shared" si="11"/>
        <v>172.08823000000004</v>
      </c>
      <c r="AJ10" s="100"/>
      <c r="AK10" s="102">
        <f t="shared" ref="AK10:AW10" si="14">SUM(AK11:AK12)</f>
        <v>144.12751000000003</v>
      </c>
      <c r="AL10" s="102">
        <f t="shared" si="14"/>
        <v>0</v>
      </c>
      <c r="AM10" s="102">
        <f t="shared" si="14"/>
        <v>27.960719999999998</v>
      </c>
      <c r="AN10" s="102">
        <f t="shared" si="14"/>
        <v>0</v>
      </c>
      <c r="AO10" s="102">
        <f t="shared" si="14"/>
        <v>0</v>
      </c>
      <c r="AP10" s="102">
        <f t="shared" si="14"/>
        <v>0</v>
      </c>
      <c r="AQ10" s="102">
        <f t="shared" si="14"/>
        <v>0</v>
      </c>
      <c r="AR10" s="102">
        <f t="shared" si="14"/>
        <v>0</v>
      </c>
      <c r="AS10" s="102">
        <f t="shared" si="14"/>
        <v>0</v>
      </c>
      <c r="AT10" s="102">
        <f t="shared" si="14"/>
        <v>0</v>
      </c>
      <c r="AU10" s="102">
        <f t="shared" si="14"/>
        <v>0</v>
      </c>
      <c r="AV10" s="102">
        <f t="shared" si="14"/>
        <v>0</v>
      </c>
      <c r="AW10" s="102">
        <f t="shared" si="14"/>
        <v>0</v>
      </c>
      <c r="AX10" s="203"/>
    </row>
    <row r="11" spans="1:50" ht="20.25">
      <c r="A11" s="44" t="s">
        <v>19</v>
      </c>
      <c r="B11" s="43"/>
      <c r="C11" s="106"/>
      <c r="D11" s="278"/>
      <c r="E11" s="100">
        <f t="shared" si="3"/>
        <v>35.97701</v>
      </c>
      <c r="F11" s="100"/>
      <c r="G11" s="99">
        <v>7.9770099999999999</v>
      </c>
      <c r="H11" s="99"/>
      <c r="I11" s="99">
        <v>28</v>
      </c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00">
        <f t="shared" si="5"/>
        <v>35.937730000000002</v>
      </c>
      <c r="U11" s="100"/>
      <c r="V11" s="99">
        <v>7.9770099999999999</v>
      </c>
      <c r="W11" s="99"/>
      <c r="X11" s="99">
        <f>15.3+1.5+2.3+3.6+5.26072</f>
        <v>27.960720000000002</v>
      </c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100">
        <f t="shared" si="11"/>
        <v>35.937730000000002</v>
      </c>
      <c r="AJ11" s="100"/>
      <c r="AK11" s="99">
        <v>7.9770099999999999</v>
      </c>
      <c r="AL11" s="99"/>
      <c r="AM11" s="99">
        <f>14.95057+1.7818+2.3556+3.5636+5.30915</f>
        <v>27.960719999999998</v>
      </c>
      <c r="AN11" s="99"/>
      <c r="AO11" s="99"/>
      <c r="AP11" s="99"/>
      <c r="AQ11" s="99"/>
      <c r="AR11" s="99"/>
      <c r="AS11" s="99"/>
      <c r="AT11" s="99"/>
      <c r="AU11" s="99"/>
      <c r="AV11" s="99"/>
      <c r="AW11" s="99"/>
    </row>
    <row r="12" spans="1:50" ht="20.25">
      <c r="A12" s="44" t="s">
        <v>197</v>
      </c>
      <c r="B12" s="43"/>
      <c r="C12" s="106"/>
      <c r="D12" s="279"/>
      <c r="E12" s="100">
        <f t="shared" si="3"/>
        <v>136.15049999999999</v>
      </c>
      <c r="F12" s="100"/>
      <c r="G12" s="99">
        <v>136.15049999999999</v>
      </c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100">
        <f t="shared" si="5"/>
        <v>136.15049999999999</v>
      </c>
      <c r="U12" s="100"/>
      <c r="V12" s="99">
        <v>136.15049999999999</v>
      </c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100">
        <f t="shared" si="11"/>
        <v>136.15050000000002</v>
      </c>
      <c r="AJ12" s="100"/>
      <c r="AK12" s="99">
        <f>54.89164-7.97701+89.23587</f>
        <v>136.15050000000002</v>
      </c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</row>
    <row r="13" spans="1:50" s="95" customFormat="1" ht="20.25">
      <c r="A13" s="89" t="s">
        <v>22</v>
      </c>
      <c r="B13" s="89"/>
      <c r="C13" s="103">
        <v>220</v>
      </c>
      <c r="D13" s="108"/>
      <c r="E13" s="100">
        <f t="shared" si="3"/>
        <v>6445.5662700000003</v>
      </c>
      <c r="F13" s="100"/>
      <c r="G13" s="101">
        <f>G14+G15+G16+G33+G64+G87+G92</f>
        <v>2145.5662700000003</v>
      </c>
      <c r="H13" s="101">
        <f t="shared" ref="H13:S13" si="15">H14+H15+H16+H33+H64+H87+H92</f>
        <v>4300</v>
      </c>
      <c r="I13" s="101">
        <f t="shared" si="15"/>
        <v>0</v>
      </c>
      <c r="J13" s="101">
        <f t="shared" si="15"/>
        <v>0</v>
      </c>
      <c r="K13" s="101">
        <f t="shared" si="15"/>
        <v>0</v>
      </c>
      <c r="L13" s="101">
        <f t="shared" si="15"/>
        <v>0</v>
      </c>
      <c r="M13" s="101">
        <f t="shared" si="15"/>
        <v>0</v>
      </c>
      <c r="N13" s="101">
        <f t="shared" si="15"/>
        <v>0</v>
      </c>
      <c r="O13" s="101">
        <f t="shared" si="15"/>
        <v>0</v>
      </c>
      <c r="P13" s="101">
        <f t="shared" si="15"/>
        <v>0</v>
      </c>
      <c r="Q13" s="101">
        <f t="shared" si="15"/>
        <v>0</v>
      </c>
      <c r="R13" s="101">
        <f t="shared" si="15"/>
        <v>0</v>
      </c>
      <c r="S13" s="101">
        <f t="shared" si="15"/>
        <v>0</v>
      </c>
      <c r="T13" s="100">
        <f t="shared" si="5"/>
        <v>6445.5662700000003</v>
      </c>
      <c r="U13" s="100"/>
      <c r="V13" s="101">
        <f>V14+V15+V16+V33+V64+V87+V92</f>
        <v>2145.5662700000003</v>
      </c>
      <c r="W13" s="101">
        <f t="shared" ref="W13:AH13" si="16">W14+W15+W16+W33+W64+W87+W92</f>
        <v>4300</v>
      </c>
      <c r="X13" s="101">
        <f t="shared" si="16"/>
        <v>0</v>
      </c>
      <c r="Y13" s="101">
        <f t="shared" si="16"/>
        <v>0</v>
      </c>
      <c r="Z13" s="101">
        <f t="shared" si="16"/>
        <v>0</v>
      </c>
      <c r="AA13" s="101">
        <f t="shared" si="16"/>
        <v>0</v>
      </c>
      <c r="AB13" s="101">
        <f t="shared" si="16"/>
        <v>0</v>
      </c>
      <c r="AC13" s="101">
        <f t="shared" si="16"/>
        <v>0</v>
      </c>
      <c r="AD13" s="101">
        <f t="shared" si="16"/>
        <v>0</v>
      </c>
      <c r="AE13" s="101">
        <f t="shared" si="16"/>
        <v>0</v>
      </c>
      <c r="AF13" s="101">
        <f t="shared" si="16"/>
        <v>0</v>
      </c>
      <c r="AG13" s="101">
        <f t="shared" si="16"/>
        <v>0</v>
      </c>
      <c r="AH13" s="101">
        <f t="shared" si="16"/>
        <v>0</v>
      </c>
      <c r="AI13" s="100">
        <f t="shared" si="11"/>
        <v>6445.5662700000003</v>
      </c>
      <c r="AJ13" s="100"/>
      <c r="AK13" s="101">
        <f>AK14+AK15+AK16+AK33+AK64+AK87+AK92</f>
        <v>2145.5662700000003</v>
      </c>
      <c r="AL13" s="101">
        <f t="shared" ref="AL13:AW13" si="17">AL14+AL15+AL16+AL33+AL64+AL87+AL92</f>
        <v>4300</v>
      </c>
      <c r="AM13" s="101">
        <f t="shared" si="17"/>
        <v>0</v>
      </c>
      <c r="AN13" s="101">
        <f t="shared" si="17"/>
        <v>0</v>
      </c>
      <c r="AO13" s="101">
        <f t="shared" si="17"/>
        <v>0</v>
      </c>
      <c r="AP13" s="101">
        <f t="shared" si="17"/>
        <v>0</v>
      </c>
      <c r="AQ13" s="101">
        <f t="shared" si="17"/>
        <v>0</v>
      </c>
      <c r="AR13" s="101">
        <f t="shared" si="17"/>
        <v>0</v>
      </c>
      <c r="AS13" s="101">
        <f t="shared" si="17"/>
        <v>0</v>
      </c>
      <c r="AT13" s="101">
        <f t="shared" si="17"/>
        <v>0</v>
      </c>
      <c r="AU13" s="101">
        <f t="shared" si="17"/>
        <v>0</v>
      </c>
      <c r="AV13" s="101">
        <f t="shared" si="17"/>
        <v>0</v>
      </c>
      <c r="AW13" s="101">
        <f t="shared" si="17"/>
        <v>0</v>
      </c>
    </row>
    <row r="14" spans="1:50" s="94" customFormat="1" ht="20.25">
      <c r="A14" s="51" t="s">
        <v>23</v>
      </c>
      <c r="B14" s="51"/>
      <c r="C14" s="105"/>
      <c r="D14" s="107">
        <v>221</v>
      </c>
      <c r="E14" s="100">
        <f t="shared" si="3"/>
        <v>0</v>
      </c>
      <c r="F14" s="100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100">
        <f t="shared" si="5"/>
        <v>0</v>
      </c>
      <c r="U14" s="100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100">
        <f t="shared" si="11"/>
        <v>0</v>
      </c>
      <c r="AJ14" s="100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</row>
    <row r="15" spans="1:50" s="94" customFormat="1" ht="20.25">
      <c r="A15" s="51" t="s">
        <v>24</v>
      </c>
      <c r="B15" s="51"/>
      <c r="C15" s="105"/>
      <c r="D15" s="107">
        <v>222</v>
      </c>
      <c r="E15" s="100">
        <f t="shared" si="3"/>
        <v>0</v>
      </c>
      <c r="F15" s="100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100">
        <f t="shared" si="5"/>
        <v>0</v>
      </c>
      <c r="U15" s="100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100">
        <f t="shared" si="11"/>
        <v>0</v>
      </c>
      <c r="AJ15" s="100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</row>
    <row r="16" spans="1:50" s="94" customFormat="1" ht="20.25">
      <c r="A16" s="51" t="s">
        <v>25</v>
      </c>
      <c r="B16" s="51"/>
      <c r="C16" s="105"/>
      <c r="D16" s="277">
        <v>223</v>
      </c>
      <c r="E16" s="100">
        <f t="shared" si="3"/>
        <v>215.88311999999999</v>
      </c>
      <c r="F16" s="100"/>
      <c r="G16" s="102">
        <f>SUM(G17:G32)</f>
        <v>215.88311999999999</v>
      </c>
      <c r="H16" s="102">
        <f t="shared" ref="H16:S16" si="18">SUM(H17:H32)</f>
        <v>0</v>
      </c>
      <c r="I16" s="102">
        <f t="shared" si="18"/>
        <v>0</v>
      </c>
      <c r="J16" s="102">
        <f t="shared" si="18"/>
        <v>0</v>
      </c>
      <c r="K16" s="102">
        <f t="shared" si="18"/>
        <v>0</v>
      </c>
      <c r="L16" s="102">
        <f t="shared" si="18"/>
        <v>0</v>
      </c>
      <c r="M16" s="102">
        <f t="shared" si="18"/>
        <v>0</v>
      </c>
      <c r="N16" s="102">
        <f t="shared" si="18"/>
        <v>0</v>
      </c>
      <c r="O16" s="102">
        <f t="shared" si="18"/>
        <v>0</v>
      </c>
      <c r="P16" s="102">
        <f t="shared" si="18"/>
        <v>0</v>
      </c>
      <c r="Q16" s="102">
        <f t="shared" si="18"/>
        <v>0</v>
      </c>
      <c r="R16" s="102">
        <f t="shared" si="18"/>
        <v>0</v>
      </c>
      <c r="S16" s="102">
        <f t="shared" si="18"/>
        <v>0</v>
      </c>
      <c r="T16" s="100">
        <f t="shared" si="5"/>
        <v>215.88311999999999</v>
      </c>
      <c r="U16" s="100"/>
      <c r="V16" s="102">
        <f>SUM(V17:V32)</f>
        <v>215.88311999999999</v>
      </c>
      <c r="W16" s="102">
        <f t="shared" ref="W16:AH16" si="19">SUM(W17:W32)</f>
        <v>0</v>
      </c>
      <c r="X16" s="102">
        <f t="shared" si="19"/>
        <v>0</v>
      </c>
      <c r="Y16" s="102">
        <f t="shared" si="19"/>
        <v>0</v>
      </c>
      <c r="Z16" s="102">
        <f t="shared" si="19"/>
        <v>0</v>
      </c>
      <c r="AA16" s="102">
        <f t="shared" si="19"/>
        <v>0</v>
      </c>
      <c r="AB16" s="102">
        <f t="shared" si="19"/>
        <v>0</v>
      </c>
      <c r="AC16" s="102">
        <f t="shared" si="19"/>
        <v>0</v>
      </c>
      <c r="AD16" s="102">
        <f t="shared" si="19"/>
        <v>0</v>
      </c>
      <c r="AE16" s="102">
        <f t="shared" si="19"/>
        <v>0</v>
      </c>
      <c r="AF16" s="102">
        <f t="shared" si="19"/>
        <v>0</v>
      </c>
      <c r="AG16" s="102">
        <f t="shared" si="19"/>
        <v>0</v>
      </c>
      <c r="AH16" s="102">
        <f t="shared" si="19"/>
        <v>0</v>
      </c>
      <c r="AI16" s="100">
        <f t="shared" si="11"/>
        <v>215.88311999999999</v>
      </c>
      <c r="AJ16" s="100"/>
      <c r="AK16" s="102">
        <f t="shared" ref="AK16:AW16" si="20">SUM(AK17:AK32)</f>
        <v>215.88311999999999</v>
      </c>
      <c r="AL16" s="102">
        <f t="shared" si="20"/>
        <v>0</v>
      </c>
      <c r="AM16" s="102">
        <f t="shared" si="20"/>
        <v>0</v>
      </c>
      <c r="AN16" s="102">
        <f t="shared" si="20"/>
        <v>0</v>
      </c>
      <c r="AO16" s="102">
        <f t="shared" si="20"/>
        <v>0</v>
      </c>
      <c r="AP16" s="102">
        <f t="shared" si="20"/>
        <v>0</v>
      </c>
      <c r="AQ16" s="102">
        <f t="shared" si="20"/>
        <v>0</v>
      </c>
      <c r="AR16" s="102">
        <f t="shared" si="20"/>
        <v>0</v>
      </c>
      <c r="AS16" s="102">
        <f t="shared" si="20"/>
        <v>0</v>
      </c>
      <c r="AT16" s="102">
        <f t="shared" si="20"/>
        <v>0</v>
      </c>
      <c r="AU16" s="102">
        <f t="shared" si="20"/>
        <v>0</v>
      </c>
      <c r="AV16" s="102">
        <f t="shared" si="20"/>
        <v>0</v>
      </c>
      <c r="AW16" s="102">
        <f t="shared" si="20"/>
        <v>0</v>
      </c>
    </row>
    <row r="17" spans="1:49" ht="20.25">
      <c r="A17" s="46" t="s">
        <v>198</v>
      </c>
      <c r="B17" s="45"/>
      <c r="C17" s="106"/>
      <c r="D17" s="278"/>
      <c r="E17" s="100">
        <f t="shared" si="3"/>
        <v>173.3545</v>
      </c>
      <c r="F17" s="100"/>
      <c r="G17" s="99">
        <v>173.3545</v>
      </c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100">
        <f t="shared" si="5"/>
        <v>173.3545</v>
      </c>
      <c r="U17" s="100"/>
      <c r="V17" s="99">
        <v>173.3545</v>
      </c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100">
        <f t="shared" si="11"/>
        <v>173.3545</v>
      </c>
      <c r="AJ17" s="100"/>
      <c r="AK17" s="99">
        <f>61.97524+111.37926</f>
        <v>173.3545</v>
      </c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</row>
    <row r="18" spans="1:49" ht="20.25">
      <c r="A18" s="46" t="s">
        <v>199</v>
      </c>
      <c r="B18" s="45"/>
      <c r="C18" s="106"/>
      <c r="D18" s="278"/>
      <c r="E18" s="100">
        <f t="shared" si="3"/>
        <v>32.028619999999997</v>
      </c>
      <c r="F18" s="100"/>
      <c r="G18" s="99">
        <v>32.028619999999997</v>
      </c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>
        <f t="shared" si="5"/>
        <v>32.028619999999997</v>
      </c>
      <c r="U18" s="100"/>
      <c r="V18" s="99">
        <v>32.028619999999997</v>
      </c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100">
        <f t="shared" si="11"/>
        <v>32.028619999999997</v>
      </c>
      <c r="AJ18" s="100"/>
      <c r="AK18" s="99">
        <v>32.028619999999997</v>
      </c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</row>
    <row r="19" spans="1:49" ht="20.25">
      <c r="A19" s="46" t="s">
        <v>219</v>
      </c>
      <c r="B19" s="45"/>
      <c r="C19" s="106"/>
      <c r="D19" s="278"/>
      <c r="E19" s="100">
        <f t="shared" si="3"/>
        <v>10.5</v>
      </c>
      <c r="F19" s="100"/>
      <c r="G19" s="99">
        <v>10.5</v>
      </c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100">
        <f t="shared" si="5"/>
        <v>10.5</v>
      </c>
      <c r="U19" s="100"/>
      <c r="V19" s="99">
        <v>10.5</v>
      </c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100">
        <f t="shared" si="11"/>
        <v>10.5</v>
      </c>
      <c r="AJ19" s="100"/>
      <c r="AK19" s="99">
        <v>10.5</v>
      </c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</row>
    <row r="20" spans="1:49" ht="20.25" hidden="1">
      <c r="A20" s="46" t="s">
        <v>28</v>
      </c>
      <c r="B20" s="45"/>
      <c r="C20" s="106"/>
      <c r="D20" s="278"/>
      <c r="E20" s="100">
        <f t="shared" si="3"/>
        <v>0</v>
      </c>
      <c r="F20" s="100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100">
        <f t="shared" si="5"/>
        <v>0</v>
      </c>
      <c r="U20" s="100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100">
        <f t="shared" si="11"/>
        <v>0</v>
      </c>
      <c r="AJ20" s="100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</row>
    <row r="21" spans="1:49" ht="20.25" hidden="1">
      <c r="A21" s="46" t="s">
        <v>29</v>
      </c>
      <c r="B21" s="45"/>
      <c r="C21" s="106"/>
      <c r="D21" s="278"/>
      <c r="E21" s="100">
        <f t="shared" si="3"/>
        <v>0</v>
      </c>
      <c r="F21" s="100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100">
        <f t="shared" si="5"/>
        <v>0</v>
      </c>
      <c r="U21" s="100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100">
        <f t="shared" si="11"/>
        <v>0</v>
      </c>
      <c r="AJ21" s="100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</row>
    <row r="22" spans="1:49" ht="20.25" hidden="1">
      <c r="A22" s="46" t="s">
        <v>30</v>
      </c>
      <c r="B22" s="45"/>
      <c r="C22" s="106"/>
      <c r="D22" s="278"/>
      <c r="E22" s="100">
        <f t="shared" si="3"/>
        <v>0</v>
      </c>
      <c r="F22" s="100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100">
        <f t="shared" si="5"/>
        <v>0</v>
      </c>
      <c r="U22" s="100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100">
        <f t="shared" si="11"/>
        <v>0</v>
      </c>
      <c r="AJ22" s="100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</row>
    <row r="23" spans="1:49" ht="20.25" hidden="1">
      <c r="A23" s="46" t="s">
        <v>31</v>
      </c>
      <c r="B23" s="45"/>
      <c r="C23" s="106"/>
      <c r="D23" s="278"/>
      <c r="E23" s="100">
        <f t="shared" si="3"/>
        <v>0</v>
      </c>
      <c r="F23" s="100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00">
        <f t="shared" si="5"/>
        <v>0</v>
      </c>
      <c r="U23" s="100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100">
        <f t="shared" si="11"/>
        <v>0</v>
      </c>
      <c r="AJ23" s="100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</row>
    <row r="24" spans="1:49" ht="20.25" hidden="1">
      <c r="A24" s="46" t="s">
        <v>33</v>
      </c>
      <c r="B24" s="45"/>
      <c r="C24" s="106"/>
      <c r="D24" s="278"/>
      <c r="E24" s="100">
        <f t="shared" si="3"/>
        <v>0</v>
      </c>
      <c r="F24" s="100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100">
        <f t="shared" si="5"/>
        <v>0</v>
      </c>
      <c r="U24" s="100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100">
        <f t="shared" si="11"/>
        <v>0</v>
      </c>
      <c r="AJ24" s="100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</row>
    <row r="25" spans="1:49" ht="20.25" hidden="1">
      <c r="A25" s="46" t="s">
        <v>34</v>
      </c>
      <c r="B25" s="45"/>
      <c r="C25" s="106"/>
      <c r="D25" s="278"/>
      <c r="E25" s="100">
        <f t="shared" si="3"/>
        <v>0</v>
      </c>
      <c r="F25" s="100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100">
        <f t="shared" si="5"/>
        <v>0</v>
      </c>
      <c r="U25" s="100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100">
        <f t="shared" si="11"/>
        <v>0</v>
      </c>
      <c r="AJ25" s="100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</row>
    <row r="26" spans="1:49" ht="20.25" hidden="1">
      <c r="A26" s="47" t="s">
        <v>35</v>
      </c>
      <c r="B26" s="45"/>
      <c r="C26" s="106"/>
      <c r="D26" s="278"/>
      <c r="E26" s="100">
        <f t="shared" si="3"/>
        <v>0</v>
      </c>
      <c r="F26" s="100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100">
        <f t="shared" si="5"/>
        <v>0</v>
      </c>
      <c r="U26" s="100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100">
        <f t="shared" si="11"/>
        <v>0</v>
      </c>
      <c r="AJ26" s="100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</row>
    <row r="27" spans="1:49" ht="20.25" hidden="1">
      <c r="A27" s="46" t="s">
        <v>135</v>
      </c>
      <c r="B27" s="45"/>
      <c r="C27" s="106"/>
      <c r="D27" s="278"/>
      <c r="E27" s="100">
        <f t="shared" si="3"/>
        <v>0</v>
      </c>
      <c r="F27" s="100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100">
        <f t="shared" si="5"/>
        <v>0</v>
      </c>
      <c r="U27" s="100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100">
        <f t="shared" si="11"/>
        <v>0</v>
      </c>
      <c r="AJ27" s="100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</row>
    <row r="28" spans="1:49" ht="20.25" hidden="1">
      <c r="A28" s="46" t="s">
        <v>32</v>
      </c>
      <c r="B28" s="45"/>
      <c r="C28" s="106"/>
      <c r="D28" s="278"/>
      <c r="E28" s="100">
        <f t="shared" si="3"/>
        <v>0</v>
      </c>
      <c r="F28" s="100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100">
        <f t="shared" si="5"/>
        <v>0</v>
      </c>
      <c r="U28" s="100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100">
        <f t="shared" si="11"/>
        <v>0</v>
      </c>
      <c r="AJ28" s="100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</row>
    <row r="29" spans="1:49" ht="20.25" hidden="1">
      <c r="A29" s="47"/>
      <c r="B29" s="45"/>
      <c r="C29" s="106"/>
      <c r="D29" s="278"/>
      <c r="E29" s="100">
        <f t="shared" si="3"/>
        <v>0</v>
      </c>
      <c r="F29" s="100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100">
        <f t="shared" si="5"/>
        <v>0</v>
      </c>
      <c r="U29" s="100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100">
        <f t="shared" si="11"/>
        <v>0</v>
      </c>
      <c r="AJ29" s="100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</row>
    <row r="30" spans="1:49" ht="20.25" hidden="1">
      <c r="A30" s="46"/>
      <c r="B30" s="45"/>
      <c r="C30" s="106"/>
      <c r="D30" s="278"/>
      <c r="E30" s="100">
        <f t="shared" si="3"/>
        <v>0</v>
      </c>
      <c r="F30" s="100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100">
        <f t="shared" si="5"/>
        <v>0</v>
      </c>
      <c r="U30" s="100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100">
        <f t="shared" si="11"/>
        <v>0</v>
      </c>
      <c r="AJ30" s="100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</row>
    <row r="31" spans="1:49" ht="20.25" hidden="1">
      <c r="A31" s="46"/>
      <c r="B31" s="45"/>
      <c r="C31" s="106"/>
      <c r="D31" s="278"/>
      <c r="E31" s="100">
        <f t="shared" si="3"/>
        <v>0</v>
      </c>
      <c r="F31" s="100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>
        <f t="shared" si="5"/>
        <v>0</v>
      </c>
      <c r="U31" s="100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100">
        <f t="shared" si="11"/>
        <v>0</v>
      </c>
      <c r="AJ31" s="100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</row>
    <row r="32" spans="1:49" ht="20.25" hidden="1">
      <c r="A32" s="47"/>
      <c r="B32" s="45"/>
      <c r="C32" s="106"/>
      <c r="D32" s="279"/>
      <c r="E32" s="100">
        <f t="shared" si="3"/>
        <v>0</v>
      </c>
      <c r="F32" s="100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100">
        <f t="shared" si="5"/>
        <v>0</v>
      </c>
      <c r="U32" s="100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100">
        <f t="shared" si="11"/>
        <v>0</v>
      </c>
      <c r="AJ32" s="100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</row>
    <row r="33" spans="1:49" s="94" customFormat="1" ht="20.25">
      <c r="A33" s="42" t="s">
        <v>36</v>
      </c>
      <c r="B33" s="42"/>
      <c r="C33" s="105"/>
      <c r="D33" s="277">
        <v>225</v>
      </c>
      <c r="E33" s="100">
        <f t="shared" si="3"/>
        <v>5432.13267</v>
      </c>
      <c r="F33" s="100"/>
      <c r="G33" s="102">
        <f>SUM(G34:G39)+SUM(G52:G63)</f>
        <v>1132.1326700000002</v>
      </c>
      <c r="H33" s="102">
        <f t="shared" ref="H33:AW33" si="21">SUM(H34:H39)+SUM(H52:H63)</f>
        <v>4300</v>
      </c>
      <c r="I33" s="102">
        <f t="shared" si="21"/>
        <v>0</v>
      </c>
      <c r="J33" s="102">
        <f t="shared" si="21"/>
        <v>0</v>
      </c>
      <c r="K33" s="102">
        <f t="shared" si="21"/>
        <v>0</v>
      </c>
      <c r="L33" s="102">
        <f t="shared" si="21"/>
        <v>0</v>
      </c>
      <c r="M33" s="102">
        <f t="shared" si="21"/>
        <v>0</v>
      </c>
      <c r="N33" s="102">
        <f t="shared" si="21"/>
        <v>0</v>
      </c>
      <c r="O33" s="102">
        <f t="shared" si="21"/>
        <v>0</v>
      </c>
      <c r="P33" s="102">
        <f t="shared" si="21"/>
        <v>0</v>
      </c>
      <c r="Q33" s="102">
        <f t="shared" si="21"/>
        <v>0</v>
      </c>
      <c r="R33" s="102">
        <f t="shared" si="21"/>
        <v>0</v>
      </c>
      <c r="S33" s="102">
        <f t="shared" si="21"/>
        <v>0</v>
      </c>
      <c r="T33" s="100">
        <f t="shared" si="5"/>
        <v>5432.13267</v>
      </c>
      <c r="U33" s="100"/>
      <c r="V33" s="102">
        <f>SUM(V34:V39)+SUM(V52:V63)</f>
        <v>1132.1326700000002</v>
      </c>
      <c r="W33" s="102">
        <f t="shared" si="21"/>
        <v>4300</v>
      </c>
      <c r="X33" s="102">
        <f t="shared" si="21"/>
        <v>0</v>
      </c>
      <c r="Y33" s="102">
        <f t="shared" si="21"/>
        <v>0</v>
      </c>
      <c r="Z33" s="102">
        <f t="shared" si="21"/>
        <v>0</v>
      </c>
      <c r="AA33" s="102">
        <f t="shared" si="21"/>
        <v>0</v>
      </c>
      <c r="AB33" s="102">
        <f t="shared" si="21"/>
        <v>0</v>
      </c>
      <c r="AC33" s="102">
        <f t="shared" si="21"/>
        <v>0</v>
      </c>
      <c r="AD33" s="102">
        <f t="shared" si="21"/>
        <v>0</v>
      </c>
      <c r="AE33" s="102">
        <f t="shared" si="21"/>
        <v>0</v>
      </c>
      <c r="AF33" s="102">
        <f t="shared" si="21"/>
        <v>0</v>
      </c>
      <c r="AG33" s="102">
        <f t="shared" si="21"/>
        <v>0</v>
      </c>
      <c r="AH33" s="102">
        <f t="shared" si="21"/>
        <v>0</v>
      </c>
      <c r="AI33" s="100">
        <f t="shared" si="11"/>
        <v>5432.13267</v>
      </c>
      <c r="AJ33" s="100"/>
      <c r="AK33" s="102">
        <f>SUM(AK34:AK39)+SUM(AK52:AK63)</f>
        <v>1132.1326700000002</v>
      </c>
      <c r="AL33" s="102">
        <f t="shared" si="21"/>
        <v>4300</v>
      </c>
      <c r="AM33" s="102">
        <f t="shared" si="21"/>
        <v>0</v>
      </c>
      <c r="AN33" s="102">
        <f t="shared" si="21"/>
        <v>0</v>
      </c>
      <c r="AO33" s="102">
        <f t="shared" si="21"/>
        <v>0</v>
      </c>
      <c r="AP33" s="102">
        <f t="shared" si="21"/>
        <v>0</v>
      </c>
      <c r="AQ33" s="102">
        <f t="shared" si="21"/>
        <v>0</v>
      </c>
      <c r="AR33" s="102">
        <f t="shared" si="21"/>
        <v>0</v>
      </c>
      <c r="AS33" s="102">
        <f t="shared" si="21"/>
        <v>0</v>
      </c>
      <c r="AT33" s="102">
        <f t="shared" si="21"/>
        <v>0</v>
      </c>
      <c r="AU33" s="102">
        <f t="shared" si="21"/>
        <v>0</v>
      </c>
      <c r="AV33" s="102">
        <f t="shared" si="21"/>
        <v>0</v>
      </c>
      <c r="AW33" s="102">
        <f t="shared" si="21"/>
        <v>0</v>
      </c>
    </row>
    <row r="34" spans="1:49" ht="20.25">
      <c r="A34" s="48" t="s">
        <v>187</v>
      </c>
      <c r="B34" s="48"/>
      <c r="C34" s="106"/>
      <c r="D34" s="278"/>
      <c r="E34" s="100">
        <f t="shared" si="3"/>
        <v>5227.5829999999996</v>
      </c>
      <c r="F34" s="100"/>
      <c r="G34" s="99">
        <f>478.027+449.556</f>
        <v>927.58299999999997</v>
      </c>
      <c r="H34" s="99">
        <f>500+3800</f>
        <v>4300</v>
      </c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100">
        <f t="shared" si="5"/>
        <v>5227.5829999999996</v>
      </c>
      <c r="U34" s="100"/>
      <c r="V34" s="99">
        <f>478.027+449.556</f>
        <v>927.58299999999997</v>
      </c>
      <c r="W34" s="99">
        <f>1252.177+3047.823</f>
        <v>4300</v>
      </c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100">
        <f t="shared" si="11"/>
        <v>5227.5829999999996</v>
      </c>
      <c r="AJ34" s="100"/>
      <c r="AK34" s="99">
        <v>927.58299999999997</v>
      </c>
      <c r="AL34" s="99">
        <v>4300</v>
      </c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</row>
    <row r="35" spans="1:49" ht="20.25">
      <c r="A35" s="49" t="s">
        <v>216</v>
      </c>
      <c r="B35" s="49"/>
      <c r="C35" s="106"/>
      <c r="D35" s="278"/>
      <c r="E35" s="100">
        <f t="shared" si="3"/>
        <v>33.215000000000003</v>
      </c>
      <c r="F35" s="100"/>
      <c r="G35" s="99">
        <v>33.215000000000003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100">
        <f t="shared" si="5"/>
        <v>33.215000000000003</v>
      </c>
      <c r="U35" s="100"/>
      <c r="V35" s="99">
        <v>33.215000000000003</v>
      </c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100">
        <f t="shared" si="11"/>
        <v>33.215000000000003</v>
      </c>
      <c r="AJ35" s="100"/>
      <c r="AK35" s="99">
        <f>6+8.9+12.315+6</f>
        <v>33.215000000000003</v>
      </c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</row>
    <row r="36" spans="1:49" ht="20.25">
      <c r="A36" s="48" t="s">
        <v>200</v>
      </c>
      <c r="B36" s="48"/>
      <c r="C36" s="106"/>
      <c r="D36" s="278"/>
      <c r="E36" s="100">
        <f t="shared" si="3"/>
        <v>10.055999999999999</v>
      </c>
      <c r="F36" s="100"/>
      <c r="G36" s="99">
        <v>10.055999999999999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100">
        <f t="shared" si="5"/>
        <v>10.055999999999999</v>
      </c>
      <c r="U36" s="100"/>
      <c r="V36" s="99">
        <v>10.055999999999999</v>
      </c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100">
        <f t="shared" si="11"/>
        <v>10.055999999999999</v>
      </c>
      <c r="AJ36" s="100"/>
      <c r="AK36" s="99">
        <v>10.055999999999999</v>
      </c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</row>
    <row r="37" spans="1:49" ht="20.25">
      <c r="A37" s="49" t="s">
        <v>201</v>
      </c>
      <c r="B37" s="49"/>
      <c r="C37" s="106"/>
      <c r="D37" s="278"/>
      <c r="E37" s="100">
        <f t="shared" si="3"/>
        <v>93.220799999999997</v>
      </c>
      <c r="F37" s="100"/>
      <c r="G37" s="99">
        <v>93.220799999999997</v>
      </c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100">
        <f t="shared" si="5"/>
        <v>93.220799999999997</v>
      </c>
      <c r="U37" s="100"/>
      <c r="V37" s="99">
        <v>93.220799999999997</v>
      </c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100">
        <f t="shared" si="11"/>
        <v>93.220799999999997</v>
      </c>
      <c r="AJ37" s="100"/>
      <c r="AK37" s="99">
        <f>28.852+64.3688</f>
        <v>93.220799999999997</v>
      </c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</row>
    <row r="38" spans="1:49" ht="20.25">
      <c r="A38" s="49" t="s">
        <v>212</v>
      </c>
      <c r="B38" s="49"/>
      <c r="C38" s="106"/>
      <c r="D38" s="278"/>
      <c r="E38" s="100">
        <f t="shared" si="3"/>
        <v>1.3582700000000001</v>
      </c>
      <c r="F38" s="100"/>
      <c r="G38" s="99">
        <v>1.3582700000000001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100">
        <f t="shared" si="5"/>
        <v>1.3582700000000001</v>
      </c>
      <c r="U38" s="100"/>
      <c r="V38" s="99">
        <v>1.3582700000000001</v>
      </c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100">
        <f t="shared" si="11"/>
        <v>1.3582700000000001</v>
      </c>
      <c r="AJ38" s="100"/>
      <c r="AK38" s="99">
        <v>1.3582700000000001</v>
      </c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</row>
    <row r="39" spans="1:49" s="117" customFormat="1" ht="20.25">
      <c r="A39" s="119" t="s">
        <v>42</v>
      </c>
      <c r="B39" s="115"/>
      <c r="C39" s="116"/>
      <c r="D39" s="278"/>
      <c r="E39" s="100">
        <f t="shared" si="3"/>
        <v>1.4516</v>
      </c>
      <c r="F39" s="100"/>
      <c r="G39" s="118">
        <f>SUM(G40:G51)</f>
        <v>1.4516</v>
      </c>
      <c r="H39" s="118">
        <f t="shared" ref="H39:AW39" si="22">SUM(H40:H51)</f>
        <v>0</v>
      </c>
      <c r="I39" s="118">
        <f t="shared" si="22"/>
        <v>0</v>
      </c>
      <c r="J39" s="118">
        <f t="shared" si="22"/>
        <v>0</v>
      </c>
      <c r="K39" s="118">
        <f t="shared" si="22"/>
        <v>0</v>
      </c>
      <c r="L39" s="118">
        <f t="shared" si="22"/>
        <v>0</v>
      </c>
      <c r="M39" s="118">
        <f t="shared" si="22"/>
        <v>0</v>
      </c>
      <c r="N39" s="118">
        <f t="shared" si="22"/>
        <v>0</v>
      </c>
      <c r="O39" s="118">
        <f t="shared" si="22"/>
        <v>0</v>
      </c>
      <c r="P39" s="118">
        <f t="shared" si="22"/>
        <v>0</v>
      </c>
      <c r="Q39" s="118">
        <f t="shared" si="22"/>
        <v>0</v>
      </c>
      <c r="R39" s="118">
        <f t="shared" si="22"/>
        <v>0</v>
      </c>
      <c r="S39" s="118">
        <f t="shared" si="22"/>
        <v>0</v>
      </c>
      <c r="T39" s="100">
        <f t="shared" si="5"/>
        <v>1.4516</v>
      </c>
      <c r="U39" s="100"/>
      <c r="V39" s="118">
        <f>SUM(V40:V51)</f>
        <v>1.4516</v>
      </c>
      <c r="W39" s="118">
        <f t="shared" si="22"/>
        <v>0</v>
      </c>
      <c r="X39" s="118">
        <f t="shared" si="22"/>
        <v>0</v>
      </c>
      <c r="Y39" s="118">
        <f t="shared" si="22"/>
        <v>0</v>
      </c>
      <c r="Z39" s="118">
        <f t="shared" si="22"/>
        <v>0</v>
      </c>
      <c r="AA39" s="118">
        <f t="shared" si="22"/>
        <v>0</v>
      </c>
      <c r="AB39" s="118">
        <f t="shared" si="22"/>
        <v>0</v>
      </c>
      <c r="AC39" s="118">
        <f t="shared" si="22"/>
        <v>0</v>
      </c>
      <c r="AD39" s="118">
        <f t="shared" si="22"/>
        <v>0</v>
      </c>
      <c r="AE39" s="118">
        <f t="shared" si="22"/>
        <v>0</v>
      </c>
      <c r="AF39" s="118">
        <f t="shared" si="22"/>
        <v>0</v>
      </c>
      <c r="AG39" s="118">
        <f t="shared" si="22"/>
        <v>0</v>
      </c>
      <c r="AH39" s="118">
        <f t="shared" si="22"/>
        <v>0</v>
      </c>
      <c r="AI39" s="100">
        <f t="shared" si="11"/>
        <v>1.4516</v>
      </c>
      <c r="AJ39" s="100"/>
      <c r="AK39" s="118">
        <f>SUM(AK40:AK51)</f>
        <v>1.4516</v>
      </c>
      <c r="AL39" s="118">
        <f t="shared" si="22"/>
        <v>0</v>
      </c>
      <c r="AM39" s="118">
        <f t="shared" si="22"/>
        <v>0</v>
      </c>
      <c r="AN39" s="118">
        <f t="shared" si="22"/>
        <v>0</v>
      </c>
      <c r="AO39" s="118">
        <f t="shared" si="22"/>
        <v>0</v>
      </c>
      <c r="AP39" s="118">
        <f t="shared" si="22"/>
        <v>0</v>
      </c>
      <c r="AQ39" s="118">
        <f t="shared" si="22"/>
        <v>0</v>
      </c>
      <c r="AR39" s="118">
        <f t="shared" si="22"/>
        <v>0</v>
      </c>
      <c r="AS39" s="118">
        <f t="shared" si="22"/>
        <v>0</v>
      </c>
      <c r="AT39" s="118">
        <f t="shared" si="22"/>
        <v>0</v>
      </c>
      <c r="AU39" s="118">
        <f t="shared" si="22"/>
        <v>0</v>
      </c>
      <c r="AV39" s="118">
        <f t="shared" si="22"/>
        <v>0</v>
      </c>
      <c r="AW39" s="118">
        <f t="shared" si="22"/>
        <v>0</v>
      </c>
    </row>
    <row r="40" spans="1:49" ht="31.5">
      <c r="A40" s="121" t="s">
        <v>43</v>
      </c>
      <c r="B40" s="48"/>
      <c r="C40" s="106"/>
      <c r="D40" s="278"/>
      <c r="E40" s="100">
        <f t="shared" si="3"/>
        <v>0</v>
      </c>
      <c r="F40" s="100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100">
        <f t="shared" si="5"/>
        <v>0</v>
      </c>
      <c r="U40" s="100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100">
        <f t="shared" si="11"/>
        <v>0</v>
      </c>
      <c r="AJ40" s="100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</row>
    <row r="41" spans="1:49" ht="20.25">
      <c r="A41" s="122" t="s">
        <v>44</v>
      </c>
      <c r="B41" s="48"/>
      <c r="C41" s="106"/>
      <c r="D41" s="278"/>
      <c r="E41" s="100">
        <f t="shared" si="3"/>
        <v>0</v>
      </c>
      <c r="F41" s="100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100">
        <f t="shared" si="5"/>
        <v>0</v>
      </c>
      <c r="U41" s="100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100">
        <f t="shared" si="11"/>
        <v>0</v>
      </c>
      <c r="AJ41" s="100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</row>
    <row r="42" spans="1:49" ht="20.25">
      <c r="A42" s="123" t="s">
        <v>45</v>
      </c>
      <c r="B42" s="48"/>
      <c r="C42" s="106"/>
      <c r="D42" s="278"/>
      <c r="E42" s="100">
        <f t="shared" si="3"/>
        <v>0</v>
      </c>
      <c r="F42" s="100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100">
        <f t="shared" si="5"/>
        <v>0</v>
      </c>
      <c r="U42" s="100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100">
        <f t="shared" si="11"/>
        <v>0</v>
      </c>
      <c r="AJ42" s="100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</row>
    <row r="43" spans="1:49" ht="20.25">
      <c r="A43" s="122" t="s">
        <v>46</v>
      </c>
      <c r="B43" s="48"/>
      <c r="C43" s="106"/>
      <c r="D43" s="278"/>
      <c r="E43" s="100">
        <f t="shared" si="3"/>
        <v>0</v>
      </c>
      <c r="F43" s="100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100">
        <f t="shared" si="5"/>
        <v>0</v>
      </c>
      <c r="U43" s="100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100">
        <f t="shared" si="11"/>
        <v>0</v>
      </c>
      <c r="AJ43" s="100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</row>
    <row r="44" spans="1:49" ht="20.25">
      <c r="A44" s="121" t="s">
        <v>47</v>
      </c>
      <c r="B44" s="48"/>
      <c r="C44" s="106"/>
      <c r="D44" s="278"/>
      <c r="E44" s="100">
        <f t="shared" si="3"/>
        <v>0</v>
      </c>
      <c r="F44" s="100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100">
        <f t="shared" si="5"/>
        <v>0</v>
      </c>
      <c r="U44" s="100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100">
        <f t="shared" si="11"/>
        <v>0</v>
      </c>
      <c r="AJ44" s="100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</row>
    <row r="45" spans="1:49" ht="20.25" hidden="1">
      <c r="A45" s="121"/>
      <c r="B45" s="48"/>
      <c r="C45" s="106"/>
      <c r="D45" s="278"/>
      <c r="E45" s="100">
        <f t="shared" si="3"/>
        <v>0</v>
      </c>
      <c r="F45" s="100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100">
        <f t="shared" si="5"/>
        <v>0</v>
      </c>
      <c r="U45" s="100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100">
        <f t="shared" si="11"/>
        <v>0</v>
      </c>
      <c r="AJ45" s="100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</row>
    <row r="46" spans="1:49" ht="20.25" hidden="1">
      <c r="A46" s="124"/>
      <c r="B46" s="48"/>
      <c r="C46" s="106"/>
      <c r="D46" s="278"/>
      <c r="E46" s="100">
        <f t="shared" si="3"/>
        <v>0</v>
      </c>
      <c r="F46" s="100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100">
        <f t="shared" si="5"/>
        <v>0</v>
      </c>
      <c r="U46" s="100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100">
        <f t="shared" si="11"/>
        <v>0</v>
      </c>
      <c r="AJ46" s="100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</row>
    <row r="47" spans="1:49" ht="20.25">
      <c r="A47" s="121" t="s">
        <v>48</v>
      </c>
      <c r="B47" s="48"/>
      <c r="C47" s="106"/>
      <c r="D47" s="278"/>
      <c r="E47" s="100">
        <f t="shared" si="3"/>
        <v>1.4516</v>
      </c>
      <c r="F47" s="100"/>
      <c r="G47" s="99">
        <v>1.4516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100">
        <f t="shared" si="5"/>
        <v>1.4516</v>
      </c>
      <c r="U47" s="100"/>
      <c r="V47" s="99">
        <v>1.4516</v>
      </c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100">
        <f t="shared" si="11"/>
        <v>1.4516</v>
      </c>
      <c r="AJ47" s="100"/>
      <c r="AK47" s="99">
        <v>1.4516</v>
      </c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</row>
    <row r="48" spans="1:49" ht="20.25" hidden="1">
      <c r="A48" s="121"/>
      <c r="B48" s="48"/>
      <c r="C48" s="106"/>
      <c r="D48" s="278"/>
      <c r="E48" s="100">
        <f t="shared" si="3"/>
        <v>0</v>
      </c>
      <c r="F48" s="100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100">
        <f t="shared" si="5"/>
        <v>0</v>
      </c>
      <c r="U48" s="100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100">
        <f t="shared" si="11"/>
        <v>0</v>
      </c>
      <c r="AJ48" s="100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</row>
    <row r="49" spans="1:49" ht="20.25">
      <c r="A49" s="121" t="s">
        <v>49</v>
      </c>
      <c r="B49" s="48"/>
      <c r="C49" s="106"/>
      <c r="D49" s="278"/>
      <c r="E49" s="100">
        <f t="shared" si="3"/>
        <v>0</v>
      </c>
      <c r="F49" s="100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100">
        <f t="shared" si="5"/>
        <v>0</v>
      </c>
      <c r="U49" s="100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100">
        <f t="shared" si="11"/>
        <v>0</v>
      </c>
      <c r="AJ49" s="100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</row>
    <row r="50" spans="1:49" ht="20.25">
      <c r="A50" s="121" t="s">
        <v>50</v>
      </c>
      <c r="B50" s="48"/>
      <c r="C50" s="106"/>
      <c r="D50" s="278"/>
      <c r="E50" s="100">
        <f t="shared" si="3"/>
        <v>0</v>
      </c>
      <c r="F50" s="100"/>
      <c r="G50" s="99">
        <v>0</v>
      </c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100">
        <f t="shared" si="5"/>
        <v>0</v>
      </c>
      <c r="U50" s="100"/>
      <c r="V50" s="99">
        <v>0</v>
      </c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100">
        <f t="shared" si="11"/>
        <v>0</v>
      </c>
      <c r="AJ50" s="100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</row>
    <row r="51" spans="1:49" ht="20.25" hidden="1">
      <c r="A51" s="50"/>
      <c r="B51" s="48"/>
      <c r="C51" s="106"/>
      <c r="D51" s="278"/>
      <c r="E51" s="100">
        <f t="shared" si="3"/>
        <v>0</v>
      </c>
      <c r="F51" s="100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100">
        <f t="shared" si="5"/>
        <v>0</v>
      </c>
      <c r="U51" s="100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100">
        <f t="shared" si="11"/>
        <v>0</v>
      </c>
      <c r="AJ51" s="100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</row>
    <row r="52" spans="1:49" ht="20.25">
      <c r="A52" s="49" t="s">
        <v>51</v>
      </c>
      <c r="B52" s="49"/>
      <c r="C52" s="106"/>
      <c r="D52" s="278"/>
      <c r="E52" s="100">
        <f t="shared" si="3"/>
        <v>0</v>
      </c>
      <c r="F52" s="100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100">
        <f t="shared" si="5"/>
        <v>0</v>
      </c>
      <c r="U52" s="100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100">
        <f t="shared" si="11"/>
        <v>0</v>
      </c>
      <c r="AJ52" s="100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</row>
    <row r="53" spans="1:49" ht="20.25">
      <c r="A53" s="48" t="s">
        <v>52</v>
      </c>
      <c r="B53" s="48"/>
      <c r="C53" s="106"/>
      <c r="D53" s="278"/>
      <c r="E53" s="100">
        <f t="shared" si="3"/>
        <v>0</v>
      </c>
      <c r="F53" s="100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100">
        <f t="shared" si="5"/>
        <v>0</v>
      </c>
      <c r="U53" s="100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100">
        <f t="shared" si="11"/>
        <v>0</v>
      </c>
      <c r="AJ53" s="100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</row>
    <row r="54" spans="1:49" ht="20.25">
      <c r="A54" s="49" t="s">
        <v>53</v>
      </c>
      <c r="B54" s="49"/>
      <c r="C54" s="106"/>
      <c r="D54" s="278"/>
      <c r="E54" s="100">
        <f t="shared" si="3"/>
        <v>0</v>
      </c>
      <c r="F54" s="100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100">
        <f t="shared" si="5"/>
        <v>0</v>
      </c>
      <c r="U54" s="100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100">
        <f t="shared" si="11"/>
        <v>0</v>
      </c>
      <c r="AJ54" s="100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</row>
    <row r="55" spans="1:49" ht="20.25" hidden="1">
      <c r="A55" s="49"/>
      <c r="B55" s="49"/>
      <c r="C55" s="106"/>
      <c r="D55" s="278"/>
      <c r="E55" s="100">
        <f t="shared" si="3"/>
        <v>0</v>
      </c>
      <c r="F55" s="100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100">
        <f t="shared" si="5"/>
        <v>0</v>
      </c>
      <c r="U55" s="100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100">
        <f t="shared" si="11"/>
        <v>0</v>
      </c>
      <c r="AJ55" s="100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</row>
    <row r="56" spans="1:49" ht="20.25">
      <c r="A56" s="49" t="s">
        <v>54</v>
      </c>
      <c r="B56" s="49"/>
      <c r="C56" s="106"/>
      <c r="D56" s="278"/>
      <c r="E56" s="100">
        <f t="shared" si="3"/>
        <v>0</v>
      </c>
      <c r="F56" s="100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100">
        <f t="shared" si="5"/>
        <v>0</v>
      </c>
      <c r="U56" s="100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100">
        <f t="shared" si="11"/>
        <v>0</v>
      </c>
      <c r="AJ56" s="100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</row>
    <row r="57" spans="1:49" ht="20.25" hidden="1">
      <c r="A57" s="49"/>
      <c r="B57" s="49"/>
      <c r="C57" s="106"/>
      <c r="D57" s="278"/>
      <c r="E57" s="100">
        <f t="shared" si="3"/>
        <v>0</v>
      </c>
      <c r="F57" s="100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100">
        <f t="shared" si="5"/>
        <v>0</v>
      </c>
      <c r="U57" s="100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100">
        <f t="shared" si="11"/>
        <v>0</v>
      </c>
      <c r="AJ57" s="100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</row>
    <row r="58" spans="1:49" ht="20.25" hidden="1">
      <c r="A58" s="49"/>
      <c r="B58" s="49"/>
      <c r="C58" s="106"/>
      <c r="D58" s="278"/>
      <c r="E58" s="100">
        <f t="shared" si="3"/>
        <v>0</v>
      </c>
      <c r="F58" s="100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100">
        <f t="shared" si="5"/>
        <v>0</v>
      </c>
      <c r="U58" s="100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100">
        <f t="shared" si="11"/>
        <v>0</v>
      </c>
      <c r="AJ58" s="100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</row>
    <row r="59" spans="1:49" ht="20.25" hidden="1">
      <c r="A59" s="49"/>
      <c r="B59" s="49"/>
      <c r="C59" s="106"/>
      <c r="D59" s="278"/>
      <c r="E59" s="100">
        <f t="shared" si="3"/>
        <v>0</v>
      </c>
      <c r="F59" s="100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100">
        <f t="shared" si="5"/>
        <v>0</v>
      </c>
      <c r="U59" s="100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100">
        <f t="shared" si="11"/>
        <v>0</v>
      </c>
      <c r="AJ59" s="100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</row>
    <row r="60" spans="1:49" ht="20.25" hidden="1">
      <c r="A60" s="49"/>
      <c r="B60" s="49"/>
      <c r="C60" s="106"/>
      <c r="D60" s="278"/>
      <c r="E60" s="100">
        <f t="shared" si="3"/>
        <v>0</v>
      </c>
      <c r="F60" s="100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100">
        <f t="shared" si="5"/>
        <v>0</v>
      </c>
      <c r="U60" s="100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100">
        <f t="shared" si="11"/>
        <v>0</v>
      </c>
      <c r="AJ60" s="100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</row>
    <row r="61" spans="1:49" ht="20.25" hidden="1">
      <c r="A61" s="49"/>
      <c r="B61" s="49"/>
      <c r="C61" s="106"/>
      <c r="D61" s="278"/>
      <c r="E61" s="100">
        <f t="shared" si="3"/>
        <v>0</v>
      </c>
      <c r="F61" s="100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100">
        <f t="shared" si="5"/>
        <v>0</v>
      </c>
      <c r="U61" s="100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100">
        <f t="shared" si="11"/>
        <v>0</v>
      </c>
      <c r="AJ61" s="100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</row>
    <row r="62" spans="1:49" ht="20.25" hidden="1">
      <c r="A62" s="49"/>
      <c r="B62" s="49"/>
      <c r="C62" s="106"/>
      <c r="D62" s="278"/>
      <c r="E62" s="100">
        <f t="shared" si="3"/>
        <v>0</v>
      </c>
      <c r="F62" s="100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100">
        <f t="shared" si="5"/>
        <v>0</v>
      </c>
      <c r="U62" s="100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100">
        <f t="shared" si="11"/>
        <v>0</v>
      </c>
      <c r="AJ62" s="100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</row>
    <row r="63" spans="1:49" ht="20.25">
      <c r="A63" s="48" t="s">
        <v>217</v>
      </c>
      <c r="B63" s="49"/>
      <c r="C63" s="106"/>
      <c r="D63" s="279"/>
      <c r="E63" s="100">
        <f t="shared" si="3"/>
        <v>65.248000000000005</v>
      </c>
      <c r="F63" s="100"/>
      <c r="G63" s="99">
        <v>65.248000000000005</v>
      </c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100">
        <f t="shared" si="5"/>
        <v>65.248000000000005</v>
      </c>
      <c r="U63" s="100"/>
      <c r="V63" s="99">
        <v>65.248000000000005</v>
      </c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100">
        <f t="shared" si="11"/>
        <v>65.248000000000005</v>
      </c>
      <c r="AJ63" s="100"/>
      <c r="AK63" s="99">
        <v>65.248000000000005</v>
      </c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</row>
    <row r="64" spans="1:49" s="94" customFormat="1" ht="20.25">
      <c r="A64" s="51" t="s">
        <v>55</v>
      </c>
      <c r="B64" s="51"/>
      <c r="C64" s="105"/>
      <c r="D64" s="277">
        <v>226</v>
      </c>
      <c r="E64" s="100">
        <f t="shared" si="3"/>
        <v>797.55048000000011</v>
      </c>
      <c r="F64" s="100"/>
      <c r="G64" s="102">
        <f>SUM(G65:G86)</f>
        <v>797.55048000000011</v>
      </c>
      <c r="H64" s="102">
        <f t="shared" ref="H64:S64" si="23">SUM(H65:H86)</f>
        <v>0</v>
      </c>
      <c r="I64" s="102">
        <f t="shared" si="23"/>
        <v>0</v>
      </c>
      <c r="J64" s="102">
        <f t="shared" si="23"/>
        <v>0</v>
      </c>
      <c r="K64" s="102">
        <f t="shared" si="23"/>
        <v>0</v>
      </c>
      <c r="L64" s="102">
        <f t="shared" si="23"/>
        <v>0</v>
      </c>
      <c r="M64" s="102">
        <f t="shared" si="23"/>
        <v>0</v>
      </c>
      <c r="N64" s="102">
        <f t="shared" si="23"/>
        <v>0</v>
      </c>
      <c r="O64" s="102">
        <f t="shared" si="23"/>
        <v>0</v>
      </c>
      <c r="P64" s="102">
        <f t="shared" si="23"/>
        <v>0</v>
      </c>
      <c r="Q64" s="102">
        <f t="shared" si="23"/>
        <v>0</v>
      </c>
      <c r="R64" s="102">
        <f t="shared" si="23"/>
        <v>0</v>
      </c>
      <c r="S64" s="102">
        <f t="shared" si="23"/>
        <v>0</v>
      </c>
      <c r="T64" s="100">
        <f t="shared" si="5"/>
        <v>797.55048000000011</v>
      </c>
      <c r="U64" s="100"/>
      <c r="V64" s="102">
        <f>SUM(V65:V86)</f>
        <v>797.55048000000011</v>
      </c>
      <c r="W64" s="102">
        <f t="shared" ref="W64:AH64" si="24">SUM(W65:W86)</f>
        <v>0</v>
      </c>
      <c r="X64" s="102">
        <f t="shared" si="24"/>
        <v>0</v>
      </c>
      <c r="Y64" s="102">
        <f t="shared" si="24"/>
        <v>0</v>
      </c>
      <c r="Z64" s="102">
        <f t="shared" si="24"/>
        <v>0</v>
      </c>
      <c r="AA64" s="102">
        <f t="shared" si="24"/>
        <v>0</v>
      </c>
      <c r="AB64" s="102">
        <f t="shared" si="24"/>
        <v>0</v>
      </c>
      <c r="AC64" s="102">
        <f t="shared" si="24"/>
        <v>0</v>
      </c>
      <c r="AD64" s="102">
        <f t="shared" si="24"/>
        <v>0</v>
      </c>
      <c r="AE64" s="102">
        <f t="shared" si="24"/>
        <v>0</v>
      </c>
      <c r="AF64" s="102">
        <f t="shared" si="24"/>
        <v>0</v>
      </c>
      <c r="AG64" s="102">
        <f t="shared" si="24"/>
        <v>0</v>
      </c>
      <c r="AH64" s="102">
        <f t="shared" si="24"/>
        <v>0</v>
      </c>
      <c r="AI64" s="100">
        <f t="shared" si="11"/>
        <v>797.55047999999988</v>
      </c>
      <c r="AJ64" s="100"/>
      <c r="AK64" s="102">
        <f t="shared" ref="AK64:AW64" si="25">SUM(AK65:AK86)</f>
        <v>797.55047999999988</v>
      </c>
      <c r="AL64" s="102">
        <f t="shared" si="25"/>
        <v>0</v>
      </c>
      <c r="AM64" s="102">
        <f t="shared" si="25"/>
        <v>0</v>
      </c>
      <c r="AN64" s="102">
        <f t="shared" si="25"/>
        <v>0</v>
      </c>
      <c r="AO64" s="102">
        <f t="shared" si="25"/>
        <v>0</v>
      </c>
      <c r="AP64" s="102">
        <f t="shared" si="25"/>
        <v>0</v>
      </c>
      <c r="AQ64" s="102">
        <f t="shared" si="25"/>
        <v>0</v>
      </c>
      <c r="AR64" s="102">
        <f t="shared" si="25"/>
        <v>0</v>
      </c>
      <c r="AS64" s="102">
        <f t="shared" si="25"/>
        <v>0</v>
      </c>
      <c r="AT64" s="102">
        <f t="shared" si="25"/>
        <v>0</v>
      </c>
      <c r="AU64" s="102">
        <f t="shared" si="25"/>
        <v>0</v>
      </c>
      <c r="AV64" s="102">
        <f t="shared" si="25"/>
        <v>0</v>
      </c>
      <c r="AW64" s="102">
        <f t="shared" si="25"/>
        <v>0</v>
      </c>
    </row>
    <row r="65" spans="1:49" ht="20.25">
      <c r="A65" s="49" t="s">
        <v>56</v>
      </c>
      <c r="B65" s="49"/>
      <c r="C65" s="106"/>
      <c r="D65" s="278"/>
      <c r="E65" s="100">
        <f t="shared" si="3"/>
        <v>0</v>
      </c>
      <c r="F65" s="100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100">
        <f t="shared" si="5"/>
        <v>0</v>
      </c>
      <c r="U65" s="100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100">
        <f t="shared" si="11"/>
        <v>0</v>
      </c>
      <c r="AJ65" s="100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</row>
    <row r="66" spans="1:49" ht="20.25">
      <c r="A66" s="48" t="s">
        <v>57</v>
      </c>
      <c r="B66" s="48"/>
      <c r="C66" s="106"/>
      <c r="D66" s="278"/>
      <c r="E66" s="100">
        <f t="shared" si="3"/>
        <v>6.2667999999999999</v>
      </c>
      <c r="F66" s="100"/>
      <c r="G66" s="99">
        <v>6.2667999999999999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100">
        <f t="shared" si="5"/>
        <v>6.2667999999999999</v>
      </c>
      <c r="U66" s="100"/>
      <c r="V66" s="99">
        <v>6.2667999999999999</v>
      </c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100">
        <f t="shared" si="11"/>
        <v>6.2667999999999999</v>
      </c>
      <c r="AJ66" s="100"/>
      <c r="AK66" s="99">
        <f>3.8668+2.4</f>
        <v>6.2667999999999999</v>
      </c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</row>
    <row r="67" spans="1:49" ht="31.5">
      <c r="A67" s="49" t="s">
        <v>58</v>
      </c>
      <c r="B67" s="49"/>
      <c r="C67" s="106"/>
      <c r="D67" s="278"/>
      <c r="E67" s="100">
        <f t="shared" si="3"/>
        <v>0</v>
      </c>
      <c r="F67" s="100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100">
        <f t="shared" si="5"/>
        <v>0</v>
      </c>
      <c r="U67" s="100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100">
        <f t="shared" si="11"/>
        <v>0</v>
      </c>
      <c r="AJ67" s="100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</row>
    <row r="68" spans="1:49" ht="20.25">
      <c r="A68" s="48" t="s">
        <v>141</v>
      </c>
      <c r="B68" s="48"/>
      <c r="C68" s="106"/>
      <c r="D68" s="278"/>
      <c r="E68" s="100">
        <f t="shared" si="3"/>
        <v>0</v>
      </c>
      <c r="F68" s="100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100">
        <f t="shared" si="5"/>
        <v>0</v>
      </c>
      <c r="U68" s="100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100">
        <f t="shared" si="11"/>
        <v>0</v>
      </c>
      <c r="AJ68" s="100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</row>
    <row r="69" spans="1:49" ht="20.25">
      <c r="A69" s="49" t="s">
        <v>59</v>
      </c>
      <c r="B69" s="49"/>
      <c r="C69" s="106"/>
      <c r="D69" s="278"/>
      <c r="E69" s="100">
        <f t="shared" ref="E69:E132" si="26">SUM(G69:S69)</f>
        <v>0</v>
      </c>
      <c r="F69" s="100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100">
        <f t="shared" ref="T69:T132" si="27">SUM(V69:AH69)</f>
        <v>0</v>
      </c>
      <c r="U69" s="100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100">
        <f t="shared" ref="AI69:AI132" si="28">SUM(AK69:AW69)</f>
        <v>0</v>
      </c>
      <c r="AJ69" s="100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</row>
    <row r="70" spans="1:49" ht="20.25" hidden="1">
      <c r="A70" s="48"/>
      <c r="B70" s="48"/>
      <c r="C70" s="106"/>
      <c r="D70" s="278"/>
      <c r="E70" s="100">
        <f t="shared" si="26"/>
        <v>0</v>
      </c>
      <c r="F70" s="100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100">
        <f t="shared" si="27"/>
        <v>0</v>
      </c>
      <c r="U70" s="100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100">
        <f t="shared" si="28"/>
        <v>0</v>
      </c>
      <c r="AJ70" s="100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</row>
    <row r="71" spans="1:49" ht="20.25">
      <c r="A71" s="48" t="s">
        <v>60</v>
      </c>
      <c r="B71" s="48"/>
      <c r="C71" s="106"/>
      <c r="D71" s="278"/>
      <c r="E71" s="100">
        <f t="shared" si="26"/>
        <v>0</v>
      </c>
      <c r="F71" s="100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100">
        <f t="shared" si="27"/>
        <v>0</v>
      </c>
      <c r="U71" s="100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100">
        <f t="shared" si="28"/>
        <v>0</v>
      </c>
      <c r="AJ71" s="100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</row>
    <row r="72" spans="1:49" ht="20.25" hidden="1">
      <c r="A72" s="48"/>
      <c r="B72" s="48"/>
      <c r="C72" s="106"/>
      <c r="D72" s="278"/>
      <c r="E72" s="100">
        <f t="shared" si="26"/>
        <v>0</v>
      </c>
      <c r="F72" s="100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100">
        <f t="shared" si="27"/>
        <v>0</v>
      </c>
      <c r="U72" s="100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100">
        <f t="shared" si="28"/>
        <v>0</v>
      </c>
      <c r="AJ72" s="100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</row>
    <row r="73" spans="1:49" ht="20.25">
      <c r="A73" s="48" t="s">
        <v>62</v>
      </c>
      <c r="B73" s="48"/>
      <c r="C73" s="106"/>
      <c r="D73" s="278"/>
      <c r="E73" s="100">
        <f t="shared" si="26"/>
        <v>189.17500000000001</v>
      </c>
      <c r="F73" s="100"/>
      <c r="G73" s="99">
        <v>189.17500000000001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100">
        <f t="shared" si="27"/>
        <v>189.17500000000001</v>
      </c>
      <c r="U73" s="100"/>
      <c r="V73" s="99">
        <v>189.17500000000001</v>
      </c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100">
        <f>SUM(AK73:AW73)</f>
        <v>189.17500000000001</v>
      </c>
      <c r="AJ73" s="100"/>
      <c r="AK73" s="99">
        <f>100.8+88.375</f>
        <v>189.17500000000001</v>
      </c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</row>
    <row r="74" spans="1:49" ht="20.25" hidden="1">
      <c r="A74" s="49"/>
      <c r="B74" s="52"/>
      <c r="C74" s="106"/>
      <c r="D74" s="278"/>
      <c r="E74" s="100">
        <f t="shared" si="26"/>
        <v>0</v>
      </c>
      <c r="F74" s="100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100">
        <f t="shared" si="27"/>
        <v>0</v>
      </c>
      <c r="U74" s="100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100">
        <f t="shared" si="28"/>
        <v>0</v>
      </c>
      <c r="AJ74" s="100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</row>
    <row r="75" spans="1:49" ht="20.25">
      <c r="A75" s="48" t="s">
        <v>63</v>
      </c>
      <c r="B75" s="48"/>
      <c r="C75" s="106"/>
      <c r="D75" s="278"/>
      <c r="E75" s="100">
        <f t="shared" si="26"/>
        <v>0</v>
      </c>
      <c r="F75" s="100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100">
        <f t="shared" si="27"/>
        <v>0</v>
      </c>
      <c r="U75" s="100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100">
        <f t="shared" si="28"/>
        <v>0</v>
      </c>
      <c r="AJ75" s="100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</row>
    <row r="76" spans="1:49" ht="20.25" hidden="1">
      <c r="A76" s="49"/>
      <c r="B76" s="49"/>
      <c r="C76" s="106"/>
      <c r="D76" s="278"/>
      <c r="E76" s="100">
        <f t="shared" si="26"/>
        <v>0</v>
      </c>
      <c r="F76" s="100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100">
        <f t="shared" si="27"/>
        <v>0</v>
      </c>
      <c r="U76" s="100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100">
        <f t="shared" si="28"/>
        <v>0</v>
      </c>
      <c r="AJ76" s="100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</row>
    <row r="77" spans="1:49" ht="20.25" hidden="1">
      <c r="A77" s="48"/>
      <c r="B77" s="48"/>
      <c r="C77" s="106"/>
      <c r="D77" s="278"/>
      <c r="E77" s="100">
        <f t="shared" si="26"/>
        <v>0</v>
      </c>
      <c r="F77" s="100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100">
        <f t="shared" si="27"/>
        <v>0</v>
      </c>
      <c r="U77" s="100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100">
        <f t="shared" si="28"/>
        <v>0</v>
      </c>
      <c r="AJ77" s="100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</row>
    <row r="78" spans="1:49" ht="20.25">
      <c r="A78" s="48" t="s">
        <v>64</v>
      </c>
      <c r="B78" s="48"/>
      <c r="C78" s="106"/>
      <c r="D78" s="278"/>
      <c r="E78" s="100">
        <f t="shared" si="26"/>
        <v>0</v>
      </c>
      <c r="F78" s="100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100">
        <f t="shared" si="27"/>
        <v>0</v>
      </c>
      <c r="U78" s="100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100">
        <f t="shared" si="28"/>
        <v>0</v>
      </c>
      <c r="AJ78" s="100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</row>
    <row r="79" spans="1:49" ht="20.25">
      <c r="A79" s="48" t="s">
        <v>65</v>
      </c>
      <c r="B79" s="48"/>
      <c r="C79" s="106"/>
      <c r="D79" s="278"/>
      <c r="E79" s="100">
        <f t="shared" si="26"/>
        <v>0</v>
      </c>
      <c r="F79" s="100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100">
        <f t="shared" si="27"/>
        <v>0</v>
      </c>
      <c r="U79" s="100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100">
        <f t="shared" si="28"/>
        <v>0</v>
      </c>
      <c r="AJ79" s="100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</row>
    <row r="80" spans="1:49" ht="20.25">
      <c r="A80" s="48" t="s">
        <v>66</v>
      </c>
      <c r="B80" s="48"/>
      <c r="C80" s="106"/>
      <c r="D80" s="278"/>
      <c r="E80" s="100">
        <f t="shared" si="26"/>
        <v>0</v>
      </c>
      <c r="F80" s="100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100">
        <f t="shared" si="27"/>
        <v>0</v>
      </c>
      <c r="U80" s="100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100">
        <f t="shared" si="28"/>
        <v>0</v>
      </c>
      <c r="AJ80" s="100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</row>
    <row r="81" spans="1:49" ht="20.25" hidden="1">
      <c r="A81" s="48"/>
      <c r="B81" s="48"/>
      <c r="C81" s="106"/>
      <c r="D81" s="278"/>
      <c r="E81" s="100">
        <f t="shared" si="26"/>
        <v>0</v>
      </c>
      <c r="F81" s="100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100">
        <f t="shared" si="27"/>
        <v>0</v>
      </c>
      <c r="U81" s="100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100">
        <f t="shared" si="28"/>
        <v>0</v>
      </c>
      <c r="AJ81" s="100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</row>
    <row r="82" spans="1:49" ht="20.25" hidden="1">
      <c r="A82" s="48"/>
      <c r="B82" s="48"/>
      <c r="C82" s="106"/>
      <c r="D82" s="278"/>
      <c r="E82" s="100">
        <f t="shared" si="26"/>
        <v>0</v>
      </c>
      <c r="F82" s="100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100">
        <f t="shared" si="27"/>
        <v>0</v>
      </c>
      <c r="U82" s="100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100">
        <f t="shared" si="28"/>
        <v>0</v>
      </c>
      <c r="AJ82" s="100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</row>
    <row r="83" spans="1:49" ht="20.25" hidden="1">
      <c r="A83" s="48"/>
      <c r="B83" s="48"/>
      <c r="C83" s="106"/>
      <c r="D83" s="278"/>
      <c r="E83" s="100">
        <f t="shared" si="26"/>
        <v>0</v>
      </c>
      <c r="F83" s="100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100">
        <f t="shared" si="27"/>
        <v>0</v>
      </c>
      <c r="U83" s="100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100">
        <f t="shared" si="28"/>
        <v>0</v>
      </c>
      <c r="AJ83" s="100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</row>
    <row r="84" spans="1:49" ht="20.25" hidden="1">
      <c r="A84" s="48"/>
      <c r="B84" s="48"/>
      <c r="C84" s="106"/>
      <c r="D84" s="278"/>
      <c r="E84" s="100">
        <f t="shared" si="26"/>
        <v>0</v>
      </c>
      <c r="F84" s="100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100">
        <f t="shared" si="27"/>
        <v>0</v>
      </c>
      <c r="U84" s="100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100">
        <f t="shared" si="28"/>
        <v>0</v>
      </c>
      <c r="AJ84" s="100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</row>
    <row r="85" spans="1:49" ht="20.25" hidden="1">
      <c r="A85" s="48"/>
      <c r="B85" s="48"/>
      <c r="C85" s="106"/>
      <c r="D85" s="278"/>
      <c r="E85" s="100">
        <f t="shared" si="26"/>
        <v>0</v>
      </c>
      <c r="F85" s="100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100">
        <f t="shared" si="27"/>
        <v>0</v>
      </c>
      <c r="U85" s="100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100">
        <f t="shared" si="28"/>
        <v>0</v>
      </c>
      <c r="AJ85" s="100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</row>
    <row r="86" spans="1:49" ht="20.25">
      <c r="A86" s="48" t="s">
        <v>215</v>
      </c>
      <c r="B86" s="48"/>
      <c r="C86" s="106"/>
      <c r="D86" s="279"/>
      <c r="E86" s="100">
        <f t="shared" si="26"/>
        <v>602.10868000000005</v>
      </c>
      <c r="F86" s="100"/>
      <c r="G86" s="99">
        <v>602.10868000000005</v>
      </c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100">
        <f t="shared" si="27"/>
        <v>602.10868000000005</v>
      </c>
      <c r="U86" s="100"/>
      <c r="V86" s="99">
        <v>602.10868000000005</v>
      </c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100">
        <f t="shared" si="28"/>
        <v>602.10867999999994</v>
      </c>
      <c r="AJ86" s="100"/>
      <c r="AK86" s="99">
        <f>472.34666+55.37715+74.38487</f>
        <v>602.10867999999994</v>
      </c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</row>
    <row r="87" spans="1:49" s="94" customFormat="1" ht="20.25">
      <c r="A87" s="42" t="s">
        <v>68</v>
      </c>
      <c r="B87" s="42"/>
      <c r="C87" s="105"/>
      <c r="D87" s="277">
        <v>227</v>
      </c>
      <c r="E87" s="100">
        <f t="shared" si="26"/>
        <v>0</v>
      </c>
      <c r="F87" s="100"/>
      <c r="G87" s="102">
        <f>SUM(G88:G91)</f>
        <v>0</v>
      </c>
      <c r="H87" s="102">
        <f t="shared" ref="H87:S87" si="29">SUM(H88:H91)</f>
        <v>0</v>
      </c>
      <c r="I87" s="102">
        <f t="shared" si="29"/>
        <v>0</v>
      </c>
      <c r="J87" s="102">
        <f t="shared" si="29"/>
        <v>0</v>
      </c>
      <c r="K87" s="102">
        <f t="shared" si="29"/>
        <v>0</v>
      </c>
      <c r="L87" s="102">
        <f t="shared" si="29"/>
        <v>0</v>
      </c>
      <c r="M87" s="102">
        <f t="shared" si="29"/>
        <v>0</v>
      </c>
      <c r="N87" s="102">
        <f t="shared" si="29"/>
        <v>0</v>
      </c>
      <c r="O87" s="102">
        <f t="shared" si="29"/>
        <v>0</v>
      </c>
      <c r="P87" s="102">
        <f t="shared" si="29"/>
        <v>0</v>
      </c>
      <c r="Q87" s="102">
        <f t="shared" si="29"/>
        <v>0</v>
      </c>
      <c r="R87" s="102">
        <f t="shared" si="29"/>
        <v>0</v>
      </c>
      <c r="S87" s="102">
        <f t="shared" si="29"/>
        <v>0</v>
      </c>
      <c r="T87" s="100">
        <f t="shared" si="27"/>
        <v>0</v>
      </c>
      <c r="U87" s="100"/>
      <c r="V87" s="102">
        <f>SUM(V88:V91)</f>
        <v>0</v>
      </c>
      <c r="W87" s="102">
        <f t="shared" ref="W87:AH87" si="30">SUM(W88:W91)</f>
        <v>0</v>
      </c>
      <c r="X87" s="102">
        <f t="shared" si="30"/>
        <v>0</v>
      </c>
      <c r="Y87" s="102">
        <f t="shared" si="30"/>
        <v>0</v>
      </c>
      <c r="Z87" s="102">
        <f t="shared" si="30"/>
        <v>0</v>
      </c>
      <c r="AA87" s="102">
        <f t="shared" si="30"/>
        <v>0</v>
      </c>
      <c r="AB87" s="102">
        <f t="shared" si="30"/>
        <v>0</v>
      </c>
      <c r="AC87" s="102">
        <f t="shared" si="30"/>
        <v>0</v>
      </c>
      <c r="AD87" s="102">
        <f t="shared" si="30"/>
        <v>0</v>
      </c>
      <c r="AE87" s="102">
        <f t="shared" si="30"/>
        <v>0</v>
      </c>
      <c r="AF87" s="102">
        <f t="shared" si="30"/>
        <v>0</v>
      </c>
      <c r="AG87" s="102">
        <f t="shared" si="30"/>
        <v>0</v>
      </c>
      <c r="AH87" s="102">
        <f t="shared" si="30"/>
        <v>0</v>
      </c>
      <c r="AI87" s="100">
        <f t="shared" si="28"/>
        <v>0</v>
      </c>
      <c r="AJ87" s="100"/>
      <c r="AK87" s="102">
        <f t="shared" ref="AK87:AW87" si="31">SUM(AK88:AK91)</f>
        <v>0</v>
      </c>
      <c r="AL87" s="102">
        <f t="shared" si="31"/>
        <v>0</v>
      </c>
      <c r="AM87" s="102">
        <f t="shared" si="31"/>
        <v>0</v>
      </c>
      <c r="AN87" s="102">
        <f t="shared" si="31"/>
        <v>0</v>
      </c>
      <c r="AO87" s="102">
        <f t="shared" si="31"/>
        <v>0</v>
      </c>
      <c r="AP87" s="102">
        <f t="shared" si="31"/>
        <v>0</v>
      </c>
      <c r="AQ87" s="102">
        <f t="shared" si="31"/>
        <v>0</v>
      </c>
      <c r="AR87" s="102">
        <f t="shared" si="31"/>
        <v>0</v>
      </c>
      <c r="AS87" s="102">
        <f t="shared" si="31"/>
        <v>0</v>
      </c>
      <c r="AT87" s="102">
        <f t="shared" si="31"/>
        <v>0</v>
      </c>
      <c r="AU87" s="102">
        <f t="shared" si="31"/>
        <v>0</v>
      </c>
      <c r="AV87" s="102">
        <f t="shared" si="31"/>
        <v>0</v>
      </c>
      <c r="AW87" s="102">
        <f t="shared" si="31"/>
        <v>0</v>
      </c>
    </row>
    <row r="88" spans="1:49" ht="20.25">
      <c r="A88" s="48" t="s">
        <v>202</v>
      </c>
      <c r="B88" s="42"/>
      <c r="C88" s="106"/>
      <c r="D88" s="278"/>
      <c r="E88" s="100">
        <f t="shared" si="26"/>
        <v>0</v>
      </c>
      <c r="F88" s="100"/>
      <c r="G88" s="99">
        <v>0</v>
      </c>
      <c r="H88" s="99"/>
      <c r="I88" s="99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100">
        <f t="shared" si="27"/>
        <v>0</v>
      </c>
      <c r="U88" s="100"/>
      <c r="V88" s="99">
        <v>0</v>
      </c>
      <c r="W88" s="99"/>
      <c r="X88" s="99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100">
        <f t="shared" si="28"/>
        <v>0</v>
      </c>
      <c r="AJ88" s="100"/>
      <c r="AK88" s="99"/>
      <c r="AL88" s="99"/>
      <c r="AM88" s="99"/>
      <c r="AN88" s="98"/>
      <c r="AO88" s="98"/>
      <c r="AP88" s="98"/>
      <c r="AQ88" s="98"/>
      <c r="AR88" s="98"/>
      <c r="AS88" s="98"/>
      <c r="AT88" s="98"/>
      <c r="AU88" s="98"/>
      <c r="AV88" s="98"/>
      <c r="AW88" s="98"/>
    </row>
    <row r="89" spans="1:49" ht="20.25" hidden="1">
      <c r="A89" s="43"/>
      <c r="B89" s="42"/>
      <c r="C89" s="106"/>
      <c r="D89" s="278"/>
      <c r="E89" s="100">
        <f t="shared" si="26"/>
        <v>0</v>
      </c>
      <c r="F89" s="100"/>
      <c r="G89" s="99"/>
      <c r="H89" s="99"/>
      <c r="I89" s="99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100">
        <f t="shared" si="27"/>
        <v>0</v>
      </c>
      <c r="U89" s="100"/>
      <c r="V89" s="99"/>
      <c r="W89" s="99"/>
      <c r="X89" s="99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100">
        <f t="shared" si="28"/>
        <v>0</v>
      </c>
      <c r="AJ89" s="100"/>
      <c r="AK89" s="99"/>
      <c r="AL89" s="99"/>
      <c r="AM89" s="99"/>
      <c r="AN89" s="98"/>
      <c r="AO89" s="98"/>
      <c r="AP89" s="98"/>
      <c r="AQ89" s="98"/>
      <c r="AR89" s="98"/>
      <c r="AS89" s="98"/>
      <c r="AT89" s="98"/>
      <c r="AU89" s="98"/>
      <c r="AV89" s="98"/>
      <c r="AW89" s="98"/>
    </row>
    <row r="90" spans="1:49" ht="20.25" hidden="1">
      <c r="A90" s="43"/>
      <c r="B90" s="42"/>
      <c r="C90" s="106"/>
      <c r="D90" s="278"/>
      <c r="E90" s="100">
        <f t="shared" si="26"/>
        <v>0</v>
      </c>
      <c r="F90" s="100"/>
      <c r="G90" s="99"/>
      <c r="H90" s="99"/>
      <c r="I90" s="99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100">
        <f t="shared" si="27"/>
        <v>0</v>
      </c>
      <c r="U90" s="100"/>
      <c r="V90" s="99"/>
      <c r="W90" s="99"/>
      <c r="X90" s="99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100">
        <f t="shared" si="28"/>
        <v>0</v>
      </c>
      <c r="AJ90" s="100"/>
      <c r="AK90" s="99"/>
      <c r="AL90" s="99"/>
      <c r="AM90" s="99"/>
      <c r="AN90" s="98"/>
      <c r="AO90" s="98"/>
      <c r="AP90" s="98"/>
      <c r="AQ90" s="98"/>
      <c r="AR90" s="98"/>
      <c r="AS90" s="98"/>
      <c r="AT90" s="98"/>
      <c r="AU90" s="98"/>
      <c r="AV90" s="98"/>
      <c r="AW90" s="98"/>
    </row>
    <row r="91" spans="1:49" ht="20.25" hidden="1">
      <c r="A91" s="48"/>
      <c r="B91" s="48"/>
      <c r="C91" s="106"/>
      <c r="D91" s="279"/>
      <c r="E91" s="100">
        <f t="shared" si="26"/>
        <v>0</v>
      </c>
      <c r="F91" s="100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100">
        <f t="shared" si="27"/>
        <v>0</v>
      </c>
      <c r="U91" s="100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100">
        <f t="shared" si="28"/>
        <v>0</v>
      </c>
      <c r="AJ91" s="100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</row>
    <row r="92" spans="1:49" s="94" customFormat="1" ht="20.25">
      <c r="A92" s="42" t="s">
        <v>70</v>
      </c>
      <c r="B92" s="42"/>
      <c r="C92" s="105"/>
      <c r="D92" s="277">
        <v>228</v>
      </c>
      <c r="E92" s="100">
        <f t="shared" si="26"/>
        <v>0</v>
      </c>
      <c r="F92" s="100"/>
      <c r="G92" s="102">
        <f>SUM(G93:G97)</f>
        <v>0</v>
      </c>
      <c r="H92" s="102">
        <f t="shared" ref="H92:AW92" si="32">SUM(H93:H97)</f>
        <v>0</v>
      </c>
      <c r="I92" s="102">
        <f t="shared" si="32"/>
        <v>0</v>
      </c>
      <c r="J92" s="102">
        <f t="shared" si="32"/>
        <v>0</v>
      </c>
      <c r="K92" s="102">
        <f t="shared" si="32"/>
        <v>0</v>
      </c>
      <c r="L92" s="102">
        <f t="shared" si="32"/>
        <v>0</v>
      </c>
      <c r="M92" s="102">
        <f t="shared" si="32"/>
        <v>0</v>
      </c>
      <c r="N92" s="102">
        <f t="shared" si="32"/>
        <v>0</v>
      </c>
      <c r="O92" s="102">
        <f t="shared" si="32"/>
        <v>0</v>
      </c>
      <c r="P92" s="102">
        <f t="shared" si="32"/>
        <v>0</v>
      </c>
      <c r="Q92" s="102">
        <f t="shared" si="32"/>
        <v>0</v>
      </c>
      <c r="R92" s="102">
        <f t="shared" si="32"/>
        <v>0</v>
      </c>
      <c r="S92" s="102">
        <f t="shared" si="32"/>
        <v>0</v>
      </c>
      <c r="T92" s="100">
        <f t="shared" si="27"/>
        <v>0</v>
      </c>
      <c r="U92" s="100"/>
      <c r="V92" s="102">
        <f>SUM(V93:V97)</f>
        <v>0</v>
      </c>
      <c r="W92" s="102">
        <f t="shared" si="32"/>
        <v>0</v>
      </c>
      <c r="X92" s="102">
        <f t="shared" si="32"/>
        <v>0</v>
      </c>
      <c r="Y92" s="102">
        <f t="shared" si="32"/>
        <v>0</v>
      </c>
      <c r="Z92" s="102">
        <f t="shared" si="32"/>
        <v>0</v>
      </c>
      <c r="AA92" s="102">
        <f t="shared" si="32"/>
        <v>0</v>
      </c>
      <c r="AB92" s="102">
        <f t="shared" si="32"/>
        <v>0</v>
      </c>
      <c r="AC92" s="102">
        <f t="shared" si="32"/>
        <v>0</v>
      </c>
      <c r="AD92" s="102">
        <f t="shared" si="32"/>
        <v>0</v>
      </c>
      <c r="AE92" s="102">
        <f t="shared" si="32"/>
        <v>0</v>
      </c>
      <c r="AF92" s="102">
        <f t="shared" si="32"/>
        <v>0</v>
      </c>
      <c r="AG92" s="102">
        <f t="shared" si="32"/>
        <v>0</v>
      </c>
      <c r="AH92" s="102">
        <f t="shared" si="32"/>
        <v>0</v>
      </c>
      <c r="AI92" s="100">
        <f t="shared" si="28"/>
        <v>0</v>
      </c>
      <c r="AJ92" s="100"/>
      <c r="AK92" s="102">
        <f t="shared" si="32"/>
        <v>0</v>
      </c>
      <c r="AL92" s="102">
        <f t="shared" si="32"/>
        <v>0</v>
      </c>
      <c r="AM92" s="102">
        <f t="shared" si="32"/>
        <v>0</v>
      </c>
      <c r="AN92" s="102">
        <f t="shared" si="32"/>
        <v>0</v>
      </c>
      <c r="AO92" s="102">
        <f t="shared" si="32"/>
        <v>0</v>
      </c>
      <c r="AP92" s="102">
        <f t="shared" si="32"/>
        <v>0</v>
      </c>
      <c r="AQ92" s="102">
        <f t="shared" si="32"/>
        <v>0</v>
      </c>
      <c r="AR92" s="102">
        <f t="shared" si="32"/>
        <v>0</v>
      </c>
      <c r="AS92" s="102">
        <f t="shared" si="32"/>
        <v>0</v>
      </c>
      <c r="AT92" s="102">
        <f t="shared" si="32"/>
        <v>0</v>
      </c>
      <c r="AU92" s="102">
        <f t="shared" si="32"/>
        <v>0</v>
      </c>
      <c r="AV92" s="102">
        <f t="shared" si="32"/>
        <v>0</v>
      </c>
      <c r="AW92" s="102">
        <f t="shared" si="32"/>
        <v>0</v>
      </c>
    </row>
    <row r="93" spans="1:49" ht="20.25">
      <c r="A93" s="49" t="s">
        <v>71</v>
      </c>
      <c r="B93" s="49"/>
      <c r="C93" s="106"/>
      <c r="D93" s="278"/>
      <c r="E93" s="100">
        <f t="shared" si="26"/>
        <v>0</v>
      </c>
      <c r="F93" s="100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100">
        <f t="shared" si="27"/>
        <v>0</v>
      </c>
      <c r="U93" s="100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100">
        <f t="shared" si="28"/>
        <v>0</v>
      </c>
      <c r="AJ93" s="100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</row>
    <row r="94" spans="1:49" ht="20.25" hidden="1">
      <c r="A94" s="49"/>
      <c r="B94" s="49"/>
      <c r="C94" s="106"/>
      <c r="D94" s="278"/>
      <c r="E94" s="100">
        <f t="shared" si="26"/>
        <v>0</v>
      </c>
      <c r="F94" s="100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100">
        <f t="shared" si="27"/>
        <v>0</v>
      </c>
      <c r="U94" s="100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100">
        <f t="shared" si="28"/>
        <v>0</v>
      </c>
      <c r="AJ94" s="100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</row>
    <row r="95" spans="1:49" ht="20.25" hidden="1">
      <c r="A95" s="49"/>
      <c r="B95" s="49"/>
      <c r="C95" s="106"/>
      <c r="D95" s="278"/>
      <c r="E95" s="100">
        <f t="shared" si="26"/>
        <v>0</v>
      </c>
      <c r="F95" s="100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100">
        <f t="shared" si="27"/>
        <v>0</v>
      </c>
      <c r="U95" s="100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100">
        <f t="shared" si="28"/>
        <v>0</v>
      </c>
      <c r="AJ95" s="100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</row>
    <row r="96" spans="1:49" ht="20.25" hidden="1">
      <c r="A96" s="49"/>
      <c r="B96" s="49"/>
      <c r="C96" s="106"/>
      <c r="D96" s="278"/>
      <c r="E96" s="100">
        <f t="shared" si="26"/>
        <v>0</v>
      </c>
      <c r="F96" s="100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100">
        <f t="shared" si="27"/>
        <v>0</v>
      </c>
      <c r="U96" s="100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100">
        <f t="shared" si="28"/>
        <v>0</v>
      </c>
      <c r="AJ96" s="100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</row>
    <row r="97" spans="1:49" s="117" customFormat="1" ht="20.25">
      <c r="A97" s="119" t="s">
        <v>42</v>
      </c>
      <c r="B97" s="115"/>
      <c r="C97" s="116"/>
      <c r="D97" s="278"/>
      <c r="E97" s="100">
        <f t="shared" si="26"/>
        <v>0</v>
      </c>
      <c r="F97" s="100"/>
      <c r="G97" s="118">
        <f>SUM(G98:G102)</f>
        <v>0</v>
      </c>
      <c r="H97" s="118">
        <f t="shared" ref="H97:AW97" si="33">SUM(H98:H102)</f>
        <v>0</v>
      </c>
      <c r="I97" s="118">
        <f t="shared" si="33"/>
        <v>0</v>
      </c>
      <c r="J97" s="118">
        <f t="shared" si="33"/>
        <v>0</v>
      </c>
      <c r="K97" s="118">
        <f t="shared" si="33"/>
        <v>0</v>
      </c>
      <c r="L97" s="118">
        <f t="shared" si="33"/>
        <v>0</v>
      </c>
      <c r="M97" s="118">
        <f t="shared" si="33"/>
        <v>0</v>
      </c>
      <c r="N97" s="118">
        <f t="shared" si="33"/>
        <v>0</v>
      </c>
      <c r="O97" s="118">
        <f t="shared" si="33"/>
        <v>0</v>
      </c>
      <c r="P97" s="118">
        <f t="shared" si="33"/>
        <v>0</v>
      </c>
      <c r="Q97" s="118">
        <f t="shared" si="33"/>
        <v>0</v>
      </c>
      <c r="R97" s="118">
        <f t="shared" si="33"/>
        <v>0</v>
      </c>
      <c r="S97" s="118">
        <f t="shared" si="33"/>
        <v>0</v>
      </c>
      <c r="T97" s="100">
        <f t="shared" si="27"/>
        <v>0</v>
      </c>
      <c r="U97" s="100"/>
      <c r="V97" s="118">
        <f>SUM(V98:V102)</f>
        <v>0</v>
      </c>
      <c r="W97" s="118">
        <f t="shared" si="33"/>
        <v>0</v>
      </c>
      <c r="X97" s="118">
        <f t="shared" si="33"/>
        <v>0</v>
      </c>
      <c r="Y97" s="118">
        <f t="shared" si="33"/>
        <v>0</v>
      </c>
      <c r="Z97" s="118">
        <f t="shared" si="33"/>
        <v>0</v>
      </c>
      <c r="AA97" s="118">
        <f t="shared" si="33"/>
        <v>0</v>
      </c>
      <c r="AB97" s="118">
        <f t="shared" si="33"/>
        <v>0</v>
      </c>
      <c r="AC97" s="118">
        <f t="shared" si="33"/>
        <v>0</v>
      </c>
      <c r="AD97" s="118">
        <f t="shared" si="33"/>
        <v>0</v>
      </c>
      <c r="AE97" s="118">
        <f t="shared" si="33"/>
        <v>0</v>
      </c>
      <c r="AF97" s="118">
        <f t="shared" si="33"/>
        <v>0</v>
      </c>
      <c r="AG97" s="118">
        <f t="shared" si="33"/>
        <v>0</v>
      </c>
      <c r="AH97" s="118">
        <f t="shared" si="33"/>
        <v>0</v>
      </c>
      <c r="AI97" s="100">
        <f t="shared" si="28"/>
        <v>0</v>
      </c>
      <c r="AJ97" s="100"/>
      <c r="AK97" s="118">
        <f t="shared" si="33"/>
        <v>0</v>
      </c>
      <c r="AL97" s="118">
        <f t="shared" si="33"/>
        <v>0</v>
      </c>
      <c r="AM97" s="118">
        <f t="shared" si="33"/>
        <v>0</v>
      </c>
      <c r="AN97" s="118">
        <f t="shared" si="33"/>
        <v>0</v>
      </c>
      <c r="AO97" s="118">
        <f t="shared" si="33"/>
        <v>0</v>
      </c>
      <c r="AP97" s="118">
        <f t="shared" si="33"/>
        <v>0</v>
      </c>
      <c r="AQ97" s="118">
        <f t="shared" si="33"/>
        <v>0</v>
      </c>
      <c r="AR97" s="118">
        <f t="shared" si="33"/>
        <v>0</v>
      </c>
      <c r="AS97" s="118">
        <f t="shared" si="33"/>
        <v>0</v>
      </c>
      <c r="AT97" s="118">
        <f t="shared" si="33"/>
        <v>0</v>
      </c>
      <c r="AU97" s="118">
        <f t="shared" si="33"/>
        <v>0</v>
      </c>
      <c r="AV97" s="118">
        <f t="shared" si="33"/>
        <v>0</v>
      </c>
      <c r="AW97" s="118">
        <f t="shared" si="33"/>
        <v>0</v>
      </c>
    </row>
    <row r="98" spans="1:49" ht="20.25">
      <c r="A98" s="120" t="s">
        <v>72</v>
      </c>
      <c r="B98" s="48"/>
      <c r="C98" s="106"/>
      <c r="D98" s="278"/>
      <c r="E98" s="100">
        <f t="shared" si="26"/>
        <v>0</v>
      </c>
      <c r="F98" s="100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100">
        <f t="shared" si="27"/>
        <v>0</v>
      </c>
      <c r="U98" s="100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100">
        <f t="shared" si="28"/>
        <v>0</v>
      </c>
      <c r="AJ98" s="100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</row>
    <row r="99" spans="1:49" ht="20.25">
      <c r="A99" s="120" t="s">
        <v>73</v>
      </c>
      <c r="B99" s="48"/>
      <c r="C99" s="106"/>
      <c r="D99" s="278"/>
      <c r="E99" s="100">
        <f t="shared" si="26"/>
        <v>0</v>
      </c>
      <c r="F99" s="100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100">
        <f t="shared" si="27"/>
        <v>0</v>
      </c>
      <c r="U99" s="100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100">
        <f t="shared" si="28"/>
        <v>0</v>
      </c>
      <c r="AJ99" s="100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</row>
    <row r="100" spans="1:49" ht="20.25">
      <c r="A100" s="120" t="s">
        <v>74</v>
      </c>
      <c r="B100" s="48"/>
      <c r="C100" s="106"/>
      <c r="D100" s="278"/>
      <c r="E100" s="100">
        <f t="shared" si="26"/>
        <v>0</v>
      </c>
      <c r="F100" s="100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100">
        <f t="shared" si="27"/>
        <v>0</v>
      </c>
      <c r="U100" s="100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100">
        <f t="shared" si="28"/>
        <v>0</v>
      </c>
      <c r="AJ100" s="100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</row>
    <row r="101" spans="1:49" ht="20.25">
      <c r="A101" s="120" t="s">
        <v>75</v>
      </c>
      <c r="B101" s="53"/>
      <c r="C101" s="106"/>
      <c r="D101" s="278"/>
      <c r="E101" s="100">
        <f t="shared" si="26"/>
        <v>0</v>
      </c>
      <c r="F101" s="100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100">
        <f t="shared" si="27"/>
        <v>0</v>
      </c>
      <c r="U101" s="100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100">
        <f t="shared" si="28"/>
        <v>0</v>
      </c>
      <c r="AJ101" s="100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</row>
    <row r="102" spans="1:49" ht="20.25">
      <c r="A102" s="120" t="s">
        <v>76</v>
      </c>
      <c r="B102" s="48"/>
      <c r="C102" s="106"/>
      <c r="D102" s="279"/>
      <c r="E102" s="100">
        <f t="shared" si="26"/>
        <v>0</v>
      </c>
      <c r="F102" s="100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100">
        <f t="shared" si="27"/>
        <v>0</v>
      </c>
      <c r="U102" s="100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100">
        <f t="shared" si="28"/>
        <v>0</v>
      </c>
      <c r="AJ102" s="100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</row>
    <row r="103" spans="1:49" s="95" customFormat="1" ht="20.25">
      <c r="A103" s="96" t="s">
        <v>77</v>
      </c>
      <c r="B103" s="96"/>
      <c r="C103" s="103">
        <v>260</v>
      </c>
      <c r="D103" s="108"/>
      <c r="E103" s="100">
        <f t="shared" si="26"/>
        <v>0</v>
      </c>
      <c r="F103" s="100"/>
      <c r="G103" s="101">
        <f>G104+G109</f>
        <v>0</v>
      </c>
      <c r="H103" s="101">
        <f t="shared" ref="H103:S103" si="34">H104+H109</f>
        <v>0</v>
      </c>
      <c r="I103" s="101">
        <f t="shared" si="34"/>
        <v>0</v>
      </c>
      <c r="J103" s="101">
        <f t="shared" si="34"/>
        <v>0</v>
      </c>
      <c r="K103" s="101">
        <f t="shared" si="34"/>
        <v>0</v>
      </c>
      <c r="L103" s="101">
        <f t="shared" si="34"/>
        <v>0</v>
      </c>
      <c r="M103" s="101">
        <f t="shared" si="34"/>
        <v>0</v>
      </c>
      <c r="N103" s="101">
        <f t="shared" si="34"/>
        <v>0</v>
      </c>
      <c r="O103" s="101">
        <f t="shared" si="34"/>
        <v>0</v>
      </c>
      <c r="P103" s="101">
        <f t="shared" si="34"/>
        <v>0</v>
      </c>
      <c r="Q103" s="101">
        <f t="shared" si="34"/>
        <v>0</v>
      </c>
      <c r="R103" s="101">
        <f t="shared" si="34"/>
        <v>0</v>
      </c>
      <c r="S103" s="101">
        <f t="shared" si="34"/>
        <v>0</v>
      </c>
      <c r="T103" s="100">
        <f t="shared" si="27"/>
        <v>0</v>
      </c>
      <c r="U103" s="100"/>
      <c r="V103" s="101">
        <f>V104+V109</f>
        <v>0</v>
      </c>
      <c r="W103" s="101">
        <f t="shared" ref="W103:AH103" si="35">W104+W109</f>
        <v>0</v>
      </c>
      <c r="X103" s="101">
        <f t="shared" si="35"/>
        <v>0</v>
      </c>
      <c r="Y103" s="101">
        <f t="shared" si="35"/>
        <v>0</v>
      </c>
      <c r="Z103" s="101">
        <f t="shared" si="35"/>
        <v>0</v>
      </c>
      <c r="AA103" s="101">
        <f t="shared" si="35"/>
        <v>0</v>
      </c>
      <c r="AB103" s="101">
        <f t="shared" si="35"/>
        <v>0</v>
      </c>
      <c r="AC103" s="101">
        <f t="shared" si="35"/>
        <v>0</v>
      </c>
      <c r="AD103" s="101">
        <f t="shared" si="35"/>
        <v>0</v>
      </c>
      <c r="AE103" s="101">
        <f t="shared" si="35"/>
        <v>0</v>
      </c>
      <c r="AF103" s="101">
        <f t="shared" si="35"/>
        <v>0</v>
      </c>
      <c r="AG103" s="101">
        <f t="shared" si="35"/>
        <v>0</v>
      </c>
      <c r="AH103" s="101">
        <f t="shared" si="35"/>
        <v>0</v>
      </c>
      <c r="AI103" s="100">
        <f t="shared" si="28"/>
        <v>0</v>
      </c>
      <c r="AJ103" s="100"/>
      <c r="AK103" s="101">
        <f t="shared" ref="AK103:AW103" si="36">AK104+AK109</f>
        <v>0</v>
      </c>
      <c r="AL103" s="101">
        <f t="shared" si="36"/>
        <v>0</v>
      </c>
      <c r="AM103" s="101">
        <f t="shared" si="36"/>
        <v>0</v>
      </c>
      <c r="AN103" s="101">
        <f t="shared" si="36"/>
        <v>0</v>
      </c>
      <c r="AO103" s="101">
        <f t="shared" si="36"/>
        <v>0</v>
      </c>
      <c r="AP103" s="101">
        <f t="shared" si="36"/>
        <v>0</v>
      </c>
      <c r="AQ103" s="101">
        <f t="shared" si="36"/>
        <v>0</v>
      </c>
      <c r="AR103" s="101">
        <f t="shared" si="36"/>
        <v>0</v>
      </c>
      <c r="AS103" s="101">
        <f t="shared" si="36"/>
        <v>0</v>
      </c>
      <c r="AT103" s="101">
        <f t="shared" si="36"/>
        <v>0</v>
      </c>
      <c r="AU103" s="101">
        <f t="shared" si="36"/>
        <v>0</v>
      </c>
      <c r="AV103" s="101">
        <f t="shared" si="36"/>
        <v>0</v>
      </c>
      <c r="AW103" s="101">
        <f t="shared" si="36"/>
        <v>0</v>
      </c>
    </row>
    <row r="104" spans="1:49" s="94" customFormat="1" ht="20.25">
      <c r="A104" s="42" t="s">
        <v>78</v>
      </c>
      <c r="B104" s="42"/>
      <c r="C104" s="105"/>
      <c r="D104" s="277">
        <v>262</v>
      </c>
      <c r="E104" s="100">
        <f t="shared" si="26"/>
        <v>0</v>
      </c>
      <c r="F104" s="100"/>
      <c r="G104" s="102">
        <f>SUM(G105:G108)</f>
        <v>0</v>
      </c>
      <c r="H104" s="102">
        <f t="shared" ref="H104:S104" si="37">SUM(H105:H108)</f>
        <v>0</v>
      </c>
      <c r="I104" s="102">
        <f t="shared" si="37"/>
        <v>0</v>
      </c>
      <c r="J104" s="102">
        <f t="shared" si="37"/>
        <v>0</v>
      </c>
      <c r="K104" s="102">
        <f t="shared" si="37"/>
        <v>0</v>
      </c>
      <c r="L104" s="102">
        <f t="shared" si="37"/>
        <v>0</v>
      </c>
      <c r="M104" s="102">
        <f t="shared" si="37"/>
        <v>0</v>
      </c>
      <c r="N104" s="102">
        <f t="shared" si="37"/>
        <v>0</v>
      </c>
      <c r="O104" s="102">
        <f t="shared" si="37"/>
        <v>0</v>
      </c>
      <c r="P104" s="102">
        <f t="shared" si="37"/>
        <v>0</v>
      </c>
      <c r="Q104" s="102">
        <f t="shared" si="37"/>
        <v>0</v>
      </c>
      <c r="R104" s="102">
        <f t="shared" si="37"/>
        <v>0</v>
      </c>
      <c r="S104" s="102">
        <f t="shared" si="37"/>
        <v>0</v>
      </c>
      <c r="T104" s="100">
        <f t="shared" si="27"/>
        <v>0</v>
      </c>
      <c r="U104" s="100"/>
      <c r="V104" s="102">
        <f>SUM(V105:V108)</f>
        <v>0</v>
      </c>
      <c r="W104" s="102">
        <f t="shared" ref="W104:AH104" si="38">SUM(W105:W108)</f>
        <v>0</v>
      </c>
      <c r="X104" s="102">
        <f t="shared" si="38"/>
        <v>0</v>
      </c>
      <c r="Y104" s="102">
        <f t="shared" si="38"/>
        <v>0</v>
      </c>
      <c r="Z104" s="102">
        <f t="shared" si="38"/>
        <v>0</v>
      </c>
      <c r="AA104" s="102">
        <f t="shared" si="38"/>
        <v>0</v>
      </c>
      <c r="AB104" s="102">
        <f t="shared" si="38"/>
        <v>0</v>
      </c>
      <c r="AC104" s="102">
        <f t="shared" si="38"/>
        <v>0</v>
      </c>
      <c r="AD104" s="102">
        <f t="shared" si="38"/>
        <v>0</v>
      </c>
      <c r="AE104" s="102">
        <f t="shared" si="38"/>
        <v>0</v>
      </c>
      <c r="AF104" s="102">
        <f t="shared" si="38"/>
        <v>0</v>
      </c>
      <c r="AG104" s="102">
        <f t="shared" si="38"/>
        <v>0</v>
      </c>
      <c r="AH104" s="102">
        <f t="shared" si="38"/>
        <v>0</v>
      </c>
      <c r="AI104" s="100">
        <f t="shared" si="28"/>
        <v>0</v>
      </c>
      <c r="AJ104" s="100"/>
      <c r="AK104" s="102">
        <f t="shared" ref="AK104:AW104" si="39">SUM(AK105:AK108)</f>
        <v>0</v>
      </c>
      <c r="AL104" s="102">
        <f t="shared" si="39"/>
        <v>0</v>
      </c>
      <c r="AM104" s="102">
        <f t="shared" si="39"/>
        <v>0</v>
      </c>
      <c r="AN104" s="102">
        <f t="shared" si="39"/>
        <v>0</v>
      </c>
      <c r="AO104" s="102">
        <f t="shared" si="39"/>
        <v>0</v>
      </c>
      <c r="AP104" s="102">
        <f t="shared" si="39"/>
        <v>0</v>
      </c>
      <c r="AQ104" s="102">
        <f t="shared" si="39"/>
        <v>0</v>
      </c>
      <c r="AR104" s="102">
        <f t="shared" si="39"/>
        <v>0</v>
      </c>
      <c r="AS104" s="102">
        <f t="shared" si="39"/>
        <v>0</v>
      </c>
      <c r="AT104" s="102">
        <f t="shared" si="39"/>
        <v>0</v>
      </c>
      <c r="AU104" s="102">
        <f t="shared" si="39"/>
        <v>0</v>
      </c>
      <c r="AV104" s="102">
        <f t="shared" si="39"/>
        <v>0</v>
      </c>
      <c r="AW104" s="102">
        <f t="shared" si="39"/>
        <v>0</v>
      </c>
    </row>
    <row r="105" spans="1:49" ht="20.25" hidden="1">
      <c r="A105" s="49"/>
      <c r="B105" s="43"/>
      <c r="C105" s="106"/>
      <c r="D105" s="278"/>
      <c r="E105" s="100">
        <f t="shared" si="26"/>
        <v>0</v>
      </c>
      <c r="F105" s="100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100">
        <f t="shared" si="27"/>
        <v>0</v>
      </c>
      <c r="U105" s="100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100">
        <f t="shared" si="28"/>
        <v>0</v>
      </c>
      <c r="AJ105" s="100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</row>
    <row r="106" spans="1:49" ht="20.25" hidden="1">
      <c r="A106" s="43"/>
      <c r="B106" s="43"/>
      <c r="C106" s="106"/>
      <c r="D106" s="278"/>
      <c r="E106" s="100">
        <f t="shared" si="26"/>
        <v>0</v>
      </c>
      <c r="F106" s="100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100">
        <f t="shared" si="27"/>
        <v>0</v>
      </c>
      <c r="U106" s="100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100">
        <f t="shared" si="28"/>
        <v>0</v>
      </c>
      <c r="AJ106" s="100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</row>
    <row r="107" spans="1:49" ht="20.25" hidden="1">
      <c r="A107" s="43"/>
      <c r="B107" s="43"/>
      <c r="C107" s="106"/>
      <c r="D107" s="278"/>
      <c r="E107" s="100">
        <f t="shared" si="26"/>
        <v>0</v>
      </c>
      <c r="F107" s="100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100">
        <f t="shared" si="27"/>
        <v>0</v>
      </c>
      <c r="U107" s="100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100">
        <f t="shared" si="28"/>
        <v>0</v>
      </c>
      <c r="AJ107" s="100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</row>
    <row r="108" spans="1:49" ht="20.25" hidden="1">
      <c r="A108" s="49"/>
      <c r="B108" s="49"/>
      <c r="C108" s="106"/>
      <c r="D108" s="279"/>
      <c r="E108" s="100">
        <f t="shared" si="26"/>
        <v>0</v>
      </c>
      <c r="F108" s="100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100">
        <f t="shared" si="27"/>
        <v>0</v>
      </c>
      <c r="U108" s="100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100">
        <f t="shared" si="28"/>
        <v>0</v>
      </c>
      <c r="AJ108" s="100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</row>
    <row r="109" spans="1:49" s="94" customFormat="1" ht="21.75" customHeight="1">
      <c r="A109" s="42" t="s">
        <v>79</v>
      </c>
      <c r="B109" s="42"/>
      <c r="C109" s="105"/>
      <c r="D109" s="277">
        <v>266</v>
      </c>
      <c r="E109" s="100">
        <f t="shared" si="26"/>
        <v>0</v>
      </c>
      <c r="F109" s="100"/>
      <c r="G109" s="102">
        <f>SUM(G110:G115)</f>
        <v>0</v>
      </c>
      <c r="H109" s="102">
        <f t="shared" ref="H109:S109" si="40">SUM(H110:H115)</f>
        <v>0</v>
      </c>
      <c r="I109" s="102">
        <f t="shared" si="40"/>
        <v>0</v>
      </c>
      <c r="J109" s="102">
        <f t="shared" si="40"/>
        <v>0</v>
      </c>
      <c r="K109" s="102">
        <f t="shared" si="40"/>
        <v>0</v>
      </c>
      <c r="L109" s="102">
        <f t="shared" si="40"/>
        <v>0</v>
      </c>
      <c r="M109" s="102">
        <f t="shared" si="40"/>
        <v>0</v>
      </c>
      <c r="N109" s="102">
        <f t="shared" si="40"/>
        <v>0</v>
      </c>
      <c r="O109" s="102">
        <f t="shared" si="40"/>
        <v>0</v>
      </c>
      <c r="P109" s="102">
        <f t="shared" si="40"/>
        <v>0</v>
      </c>
      <c r="Q109" s="102">
        <f t="shared" si="40"/>
        <v>0</v>
      </c>
      <c r="R109" s="102">
        <f t="shared" si="40"/>
        <v>0</v>
      </c>
      <c r="S109" s="102">
        <f t="shared" si="40"/>
        <v>0</v>
      </c>
      <c r="T109" s="100">
        <f t="shared" si="27"/>
        <v>0</v>
      </c>
      <c r="U109" s="100"/>
      <c r="V109" s="102">
        <f>SUM(V110:V115)</f>
        <v>0</v>
      </c>
      <c r="W109" s="102">
        <f t="shared" ref="W109:AH109" si="41">SUM(W110:W115)</f>
        <v>0</v>
      </c>
      <c r="X109" s="102">
        <f t="shared" si="41"/>
        <v>0</v>
      </c>
      <c r="Y109" s="102">
        <f t="shared" si="41"/>
        <v>0</v>
      </c>
      <c r="Z109" s="102">
        <f t="shared" si="41"/>
        <v>0</v>
      </c>
      <c r="AA109" s="102">
        <f t="shared" si="41"/>
        <v>0</v>
      </c>
      <c r="AB109" s="102">
        <f t="shared" si="41"/>
        <v>0</v>
      </c>
      <c r="AC109" s="102">
        <f t="shared" si="41"/>
        <v>0</v>
      </c>
      <c r="AD109" s="102">
        <f t="shared" si="41"/>
        <v>0</v>
      </c>
      <c r="AE109" s="102">
        <f t="shared" si="41"/>
        <v>0</v>
      </c>
      <c r="AF109" s="102">
        <f t="shared" si="41"/>
        <v>0</v>
      </c>
      <c r="AG109" s="102">
        <f t="shared" si="41"/>
        <v>0</v>
      </c>
      <c r="AH109" s="102">
        <f t="shared" si="41"/>
        <v>0</v>
      </c>
      <c r="AI109" s="100">
        <f t="shared" si="28"/>
        <v>0</v>
      </c>
      <c r="AJ109" s="100"/>
      <c r="AK109" s="102">
        <f t="shared" ref="AK109:AW109" si="42">SUM(AK110:AK115)</f>
        <v>0</v>
      </c>
      <c r="AL109" s="102">
        <f t="shared" si="42"/>
        <v>0</v>
      </c>
      <c r="AM109" s="102">
        <f t="shared" si="42"/>
        <v>0</v>
      </c>
      <c r="AN109" s="102">
        <f t="shared" si="42"/>
        <v>0</v>
      </c>
      <c r="AO109" s="102">
        <f t="shared" si="42"/>
        <v>0</v>
      </c>
      <c r="AP109" s="102">
        <f t="shared" si="42"/>
        <v>0</v>
      </c>
      <c r="AQ109" s="102">
        <f t="shared" si="42"/>
        <v>0</v>
      </c>
      <c r="AR109" s="102">
        <f t="shared" si="42"/>
        <v>0</v>
      </c>
      <c r="AS109" s="102">
        <f t="shared" si="42"/>
        <v>0</v>
      </c>
      <c r="AT109" s="102">
        <f t="shared" si="42"/>
        <v>0</v>
      </c>
      <c r="AU109" s="102">
        <f t="shared" si="42"/>
        <v>0</v>
      </c>
      <c r="AV109" s="102">
        <f t="shared" si="42"/>
        <v>0</v>
      </c>
      <c r="AW109" s="102">
        <f t="shared" si="42"/>
        <v>0</v>
      </c>
    </row>
    <row r="110" spans="1:49" ht="47.25">
      <c r="A110" s="49" t="s">
        <v>80</v>
      </c>
      <c r="B110" s="49"/>
      <c r="C110" s="106"/>
      <c r="D110" s="278"/>
      <c r="E110" s="100">
        <f t="shared" si="26"/>
        <v>0</v>
      </c>
      <c r="F110" s="100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100">
        <f t="shared" si="27"/>
        <v>0</v>
      </c>
      <c r="U110" s="100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100">
        <f t="shared" si="28"/>
        <v>0</v>
      </c>
      <c r="AJ110" s="100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</row>
    <row r="111" spans="1:49" ht="47.25">
      <c r="A111" s="49" t="s">
        <v>81</v>
      </c>
      <c r="B111" s="49"/>
      <c r="C111" s="106"/>
      <c r="D111" s="278"/>
      <c r="E111" s="100">
        <f t="shared" si="26"/>
        <v>0</v>
      </c>
      <c r="F111" s="100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100">
        <f t="shared" si="27"/>
        <v>0</v>
      </c>
      <c r="U111" s="100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100">
        <f t="shared" si="28"/>
        <v>0</v>
      </c>
      <c r="AJ111" s="100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</row>
    <row r="112" spans="1:49" ht="47.25">
      <c r="A112" s="49" t="s">
        <v>82</v>
      </c>
      <c r="B112" s="49"/>
      <c r="C112" s="106"/>
      <c r="D112" s="278"/>
      <c r="E112" s="100">
        <f t="shared" si="26"/>
        <v>0</v>
      </c>
      <c r="F112" s="100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100">
        <f t="shared" si="27"/>
        <v>0</v>
      </c>
      <c r="U112" s="100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100">
        <f t="shared" si="28"/>
        <v>0</v>
      </c>
      <c r="AJ112" s="100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</row>
    <row r="113" spans="1:49" ht="20.25" hidden="1">
      <c r="A113" s="49"/>
      <c r="B113" s="49"/>
      <c r="C113" s="106"/>
      <c r="D113" s="278"/>
      <c r="E113" s="100">
        <f t="shared" si="26"/>
        <v>0</v>
      </c>
      <c r="F113" s="100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100">
        <f t="shared" si="27"/>
        <v>0</v>
      </c>
      <c r="U113" s="100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100">
        <f t="shared" si="28"/>
        <v>0</v>
      </c>
      <c r="AJ113" s="100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</row>
    <row r="114" spans="1:49" ht="20.25" hidden="1">
      <c r="A114" s="49"/>
      <c r="B114" s="49"/>
      <c r="C114" s="106"/>
      <c r="D114" s="278"/>
      <c r="E114" s="100">
        <f t="shared" si="26"/>
        <v>0</v>
      </c>
      <c r="F114" s="100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100">
        <f t="shared" si="27"/>
        <v>0</v>
      </c>
      <c r="U114" s="100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100">
        <f t="shared" si="28"/>
        <v>0</v>
      </c>
      <c r="AJ114" s="100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</row>
    <row r="115" spans="1:49" ht="20.25" hidden="1">
      <c r="A115" s="49"/>
      <c r="B115" s="49"/>
      <c r="C115" s="106"/>
      <c r="D115" s="279"/>
      <c r="E115" s="100">
        <f t="shared" si="26"/>
        <v>0</v>
      </c>
      <c r="F115" s="100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100">
        <f t="shared" si="27"/>
        <v>0</v>
      </c>
      <c r="U115" s="100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100">
        <f t="shared" si="28"/>
        <v>0</v>
      </c>
      <c r="AJ115" s="100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</row>
    <row r="116" spans="1:49" s="95" customFormat="1" ht="20.25">
      <c r="A116" s="96" t="s">
        <v>83</v>
      </c>
      <c r="B116" s="96"/>
      <c r="C116" s="103">
        <v>290</v>
      </c>
      <c r="D116" s="108"/>
      <c r="E116" s="100">
        <f t="shared" si="26"/>
        <v>0</v>
      </c>
      <c r="F116" s="100"/>
      <c r="G116" s="101">
        <f>G117+G126+G127+G128</f>
        <v>0</v>
      </c>
      <c r="H116" s="101">
        <f t="shared" ref="H116:S116" si="43">H117+H126+H127+H128</f>
        <v>0</v>
      </c>
      <c r="I116" s="101">
        <f t="shared" si="43"/>
        <v>0</v>
      </c>
      <c r="J116" s="101">
        <f t="shared" si="43"/>
        <v>0</v>
      </c>
      <c r="K116" s="101">
        <f t="shared" si="43"/>
        <v>0</v>
      </c>
      <c r="L116" s="101">
        <f t="shared" si="43"/>
        <v>0</v>
      </c>
      <c r="M116" s="101">
        <f t="shared" si="43"/>
        <v>0</v>
      </c>
      <c r="N116" s="101">
        <f t="shared" si="43"/>
        <v>0</v>
      </c>
      <c r="O116" s="101">
        <f t="shared" si="43"/>
        <v>0</v>
      </c>
      <c r="P116" s="101">
        <f t="shared" si="43"/>
        <v>0</v>
      </c>
      <c r="Q116" s="101">
        <f t="shared" si="43"/>
        <v>0</v>
      </c>
      <c r="R116" s="101">
        <f t="shared" si="43"/>
        <v>0</v>
      </c>
      <c r="S116" s="101">
        <f t="shared" si="43"/>
        <v>0</v>
      </c>
      <c r="T116" s="100">
        <f t="shared" si="27"/>
        <v>0</v>
      </c>
      <c r="U116" s="100"/>
      <c r="V116" s="101">
        <f>V117+V126+V127+V128</f>
        <v>0</v>
      </c>
      <c r="W116" s="101">
        <f t="shared" ref="W116:AH116" si="44">W117+W126+W127+W128</f>
        <v>0</v>
      </c>
      <c r="X116" s="101">
        <f t="shared" si="44"/>
        <v>0</v>
      </c>
      <c r="Y116" s="101">
        <f t="shared" si="44"/>
        <v>0</v>
      </c>
      <c r="Z116" s="101">
        <f t="shared" si="44"/>
        <v>0</v>
      </c>
      <c r="AA116" s="101">
        <f t="shared" si="44"/>
        <v>0</v>
      </c>
      <c r="AB116" s="101">
        <f t="shared" si="44"/>
        <v>0</v>
      </c>
      <c r="AC116" s="101">
        <f t="shared" si="44"/>
        <v>0</v>
      </c>
      <c r="AD116" s="101">
        <f t="shared" si="44"/>
        <v>0</v>
      </c>
      <c r="AE116" s="101">
        <f t="shared" si="44"/>
        <v>0</v>
      </c>
      <c r="AF116" s="101">
        <f t="shared" si="44"/>
        <v>0</v>
      </c>
      <c r="AG116" s="101">
        <f t="shared" si="44"/>
        <v>0</v>
      </c>
      <c r="AH116" s="101">
        <f t="shared" si="44"/>
        <v>0</v>
      </c>
      <c r="AI116" s="100">
        <f t="shared" si="28"/>
        <v>0</v>
      </c>
      <c r="AJ116" s="100"/>
      <c r="AK116" s="101">
        <f t="shared" ref="AK116:AW116" si="45">AK117+AK126+AK127+AK128</f>
        <v>0</v>
      </c>
      <c r="AL116" s="101">
        <f t="shared" si="45"/>
        <v>0</v>
      </c>
      <c r="AM116" s="101">
        <f t="shared" si="45"/>
        <v>0</v>
      </c>
      <c r="AN116" s="101">
        <f t="shared" si="45"/>
        <v>0</v>
      </c>
      <c r="AO116" s="101">
        <f t="shared" si="45"/>
        <v>0</v>
      </c>
      <c r="AP116" s="101">
        <f t="shared" si="45"/>
        <v>0</v>
      </c>
      <c r="AQ116" s="101">
        <f t="shared" si="45"/>
        <v>0</v>
      </c>
      <c r="AR116" s="101">
        <f t="shared" si="45"/>
        <v>0</v>
      </c>
      <c r="AS116" s="101">
        <f t="shared" si="45"/>
        <v>0</v>
      </c>
      <c r="AT116" s="101">
        <f t="shared" si="45"/>
        <v>0</v>
      </c>
      <c r="AU116" s="101">
        <f t="shared" si="45"/>
        <v>0</v>
      </c>
      <c r="AV116" s="101">
        <f t="shared" si="45"/>
        <v>0</v>
      </c>
      <c r="AW116" s="101">
        <f t="shared" si="45"/>
        <v>0</v>
      </c>
    </row>
    <row r="117" spans="1:49" s="94" customFormat="1" ht="20.25">
      <c r="A117" s="42" t="s">
        <v>84</v>
      </c>
      <c r="B117" s="42"/>
      <c r="C117" s="105"/>
      <c r="D117" s="277">
        <v>291</v>
      </c>
      <c r="E117" s="100">
        <f t="shared" si="26"/>
        <v>0</v>
      </c>
      <c r="F117" s="100"/>
      <c r="G117" s="102">
        <f>SUM(G118:G125)</f>
        <v>0</v>
      </c>
      <c r="H117" s="102">
        <f t="shared" ref="H117:S117" si="46">SUM(H118:H125)</f>
        <v>0</v>
      </c>
      <c r="I117" s="102">
        <f t="shared" si="46"/>
        <v>0</v>
      </c>
      <c r="J117" s="102">
        <f t="shared" si="46"/>
        <v>0</v>
      </c>
      <c r="K117" s="102">
        <f t="shared" si="46"/>
        <v>0</v>
      </c>
      <c r="L117" s="102">
        <f t="shared" si="46"/>
        <v>0</v>
      </c>
      <c r="M117" s="102">
        <f t="shared" si="46"/>
        <v>0</v>
      </c>
      <c r="N117" s="102">
        <f t="shared" si="46"/>
        <v>0</v>
      </c>
      <c r="O117" s="102">
        <f t="shared" si="46"/>
        <v>0</v>
      </c>
      <c r="P117" s="102">
        <f t="shared" si="46"/>
        <v>0</v>
      </c>
      <c r="Q117" s="102">
        <f t="shared" si="46"/>
        <v>0</v>
      </c>
      <c r="R117" s="102">
        <f t="shared" si="46"/>
        <v>0</v>
      </c>
      <c r="S117" s="102">
        <f t="shared" si="46"/>
        <v>0</v>
      </c>
      <c r="T117" s="100">
        <f t="shared" si="27"/>
        <v>0</v>
      </c>
      <c r="U117" s="100"/>
      <c r="V117" s="102">
        <f>SUM(V118:V125)</f>
        <v>0</v>
      </c>
      <c r="W117" s="102">
        <f t="shared" ref="W117:AH117" si="47">SUM(W118:W125)</f>
        <v>0</v>
      </c>
      <c r="X117" s="102">
        <f t="shared" si="47"/>
        <v>0</v>
      </c>
      <c r="Y117" s="102">
        <f t="shared" si="47"/>
        <v>0</v>
      </c>
      <c r="Z117" s="102">
        <f t="shared" si="47"/>
        <v>0</v>
      </c>
      <c r="AA117" s="102">
        <f t="shared" si="47"/>
        <v>0</v>
      </c>
      <c r="AB117" s="102">
        <f t="shared" si="47"/>
        <v>0</v>
      </c>
      <c r="AC117" s="102">
        <f t="shared" si="47"/>
        <v>0</v>
      </c>
      <c r="AD117" s="102">
        <f t="shared" si="47"/>
        <v>0</v>
      </c>
      <c r="AE117" s="102">
        <f t="shared" si="47"/>
        <v>0</v>
      </c>
      <c r="AF117" s="102">
        <f t="shared" si="47"/>
        <v>0</v>
      </c>
      <c r="AG117" s="102">
        <f t="shared" si="47"/>
        <v>0</v>
      </c>
      <c r="AH117" s="102">
        <f t="shared" si="47"/>
        <v>0</v>
      </c>
      <c r="AI117" s="100">
        <f t="shared" si="28"/>
        <v>0</v>
      </c>
      <c r="AJ117" s="100"/>
      <c r="AK117" s="102">
        <f t="shared" ref="AK117:AW117" si="48">SUM(AK118:AK125)</f>
        <v>0</v>
      </c>
      <c r="AL117" s="102">
        <f t="shared" si="48"/>
        <v>0</v>
      </c>
      <c r="AM117" s="102">
        <f t="shared" si="48"/>
        <v>0</v>
      </c>
      <c r="AN117" s="102">
        <f t="shared" si="48"/>
        <v>0</v>
      </c>
      <c r="AO117" s="102">
        <f t="shared" si="48"/>
        <v>0</v>
      </c>
      <c r="AP117" s="102">
        <f t="shared" si="48"/>
        <v>0</v>
      </c>
      <c r="AQ117" s="102">
        <f t="shared" si="48"/>
        <v>0</v>
      </c>
      <c r="AR117" s="102">
        <f t="shared" si="48"/>
        <v>0</v>
      </c>
      <c r="AS117" s="102">
        <f t="shared" si="48"/>
        <v>0</v>
      </c>
      <c r="AT117" s="102">
        <f t="shared" si="48"/>
        <v>0</v>
      </c>
      <c r="AU117" s="102">
        <f t="shared" si="48"/>
        <v>0</v>
      </c>
      <c r="AV117" s="102">
        <f t="shared" si="48"/>
        <v>0</v>
      </c>
      <c r="AW117" s="102">
        <f t="shared" si="48"/>
        <v>0</v>
      </c>
    </row>
    <row r="118" spans="1:49" ht="20.25">
      <c r="A118" s="48" t="s">
        <v>85</v>
      </c>
      <c r="B118" s="48"/>
      <c r="C118" s="106"/>
      <c r="D118" s="278"/>
      <c r="E118" s="100">
        <f t="shared" si="26"/>
        <v>0</v>
      </c>
      <c r="F118" s="100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100">
        <f t="shared" si="27"/>
        <v>0</v>
      </c>
      <c r="U118" s="100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100">
        <f t="shared" si="28"/>
        <v>0</v>
      </c>
      <c r="AJ118" s="100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</row>
    <row r="119" spans="1:49" ht="20.25">
      <c r="A119" s="48" t="s">
        <v>86</v>
      </c>
      <c r="B119" s="48"/>
      <c r="C119" s="106"/>
      <c r="D119" s="278"/>
      <c r="E119" s="100">
        <f t="shared" si="26"/>
        <v>0</v>
      </c>
      <c r="F119" s="100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100">
        <f t="shared" si="27"/>
        <v>0</v>
      </c>
      <c r="U119" s="100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100">
        <f t="shared" si="28"/>
        <v>0</v>
      </c>
      <c r="AJ119" s="100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</row>
    <row r="120" spans="1:49" ht="20.25">
      <c r="A120" s="48" t="s">
        <v>87</v>
      </c>
      <c r="B120" s="48"/>
      <c r="C120" s="106"/>
      <c r="D120" s="278"/>
      <c r="E120" s="100">
        <f t="shared" si="26"/>
        <v>0</v>
      </c>
      <c r="F120" s="100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100">
        <f t="shared" si="27"/>
        <v>0</v>
      </c>
      <c r="U120" s="100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100">
        <f t="shared" si="28"/>
        <v>0</v>
      </c>
      <c r="AJ120" s="100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</row>
    <row r="121" spans="1:49" ht="20.25">
      <c r="A121" s="48" t="s">
        <v>88</v>
      </c>
      <c r="B121" s="48"/>
      <c r="C121" s="106"/>
      <c r="D121" s="278"/>
      <c r="E121" s="100">
        <f t="shared" si="26"/>
        <v>0</v>
      </c>
      <c r="F121" s="100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100">
        <f t="shared" si="27"/>
        <v>0</v>
      </c>
      <c r="U121" s="100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100">
        <f t="shared" si="28"/>
        <v>0</v>
      </c>
      <c r="AJ121" s="100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</row>
    <row r="122" spans="1:49" ht="20.25">
      <c r="A122" s="49" t="s">
        <v>89</v>
      </c>
      <c r="B122" s="48"/>
      <c r="C122" s="106"/>
      <c r="D122" s="278"/>
      <c r="E122" s="100">
        <f t="shared" si="26"/>
        <v>0</v>
      </c>
      <c r="F122" s="100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100">
        <f t="shared" si="27"/>
        <v>0</v>
      </c>
      <c r="U122" s="100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100">
        <f t="shared" si="28"/>
        <v>0</v>
      </c>
      <c r="AJ122" s="100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</row>
    <row r="123" spans="1:49" ht="20.25" hidden="1">
      <c r="A123" s="48"/>
      <c r="B123" s="48"/>
      <c r="C123" s="106"/>
      <c r="D123" s="278"/>
      <c r="E123" s="100">
        <f t="shared" si="26"/>
        <v>0</v>
      </c>
      <c r="F123" s="100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100">
        <f t="shared" si="27"/>
        <v>0</v>
      </c>
      <c r="U123" s="100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100">
        <f t="shared" si="28"/>
        <v>0</v>
      </c>
      <c r="AJ123" s="100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</row>
    <row r="124" spans="1:49" ht="20.25" hidden="1">
      <c r="A124" s="48"/>
      <c r="B124" s="48"/>
      <c r="C124" s="106"/>
      <c r="D124" s="278"/>
      <c r="E124" s="100">
        <f t="shared" si="26"/>
        <v>0</v>
      </c>
      <c r="F124" s="100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100">
        <f t="shared" si="27"/>
        <v>0</v>
      </c>
      <c r="U124" s="100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100">
        <f t="shared" si="28"/>
        <v>0</v>
      </c>
      <c r="AJ124" s="100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</row>
    <row r="125" spans="1:49" ht="20.25" hidden="1">
      <c r="A125" s="49"/>
      <c r="B125" s="49"/>
      <c r="C125" s="106"/>
      <c r="D125" s="279"/>
      <c r="E125" s="100">
        <f t="shared" si="26"/>
        <v>0</v>
      </c>
      <c r="F125" s="100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100">
        <f t="shared" si="27"/>
        <v>0</v>
      </c>
      <c r="U125" s="100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100">
        <f t="shared" si="28"/>
        <v>0</v>
      </c>
      <c r="AJ125" s="100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</row>
    <row r="126" spans="1:49" s="94" customFormat="1" ht="31.5">
      <c r="A126" s="42" t="s">
        <v>90</v>
      </c>
      <c r="B126" s="42"/>
      <c r="C126" s="105"/>
      <c r="D126" s="107">
        <v>292</v>
      </c>
      <c r="E126" s="100">
        <f t="shared" si="26"/>
        <v>0</v>
      </c>
      <c r="F126" s="100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100">
        <f t="shared" si="27"/>
        <v>0</v>
      </c>
      <c r="U126" s="100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100">
        <f t="shared" si="28"/>
        <v>0</v>
      </c>
      <c r="AJ126" s="100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</row>
    <row r="127" spans="1:49" s="94" customFormat="1" ht="31.5">
      <c r="A127" s="42" t="s">
        <v>91</v>
      </c>
      <c r="B127" s="42"/>
      <c r="C127" s="105"/>
      <c r="D127" s="107">
        <v>293</v>
      </c>
      <c r="E127" s="100">
        <f t="shared" si="26"/>
        <v>0</v>
      </c>
      <c r="F127" s="100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100">
        <f t="shared" si="27"/>
        <v>0</v>
      </c>
      <c r="U127" s="100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100">
        <f t="shared" si="28"/>
        <v>0</v>
      </c>
      <c r="AJ127" s="100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</row>
    <row r="128" spans="1:49" s="94" customFormat="1" ht="20.25">
      <c r="A128" s="42" t="s">
        <v>92</v>
      </c>
      <c r="B128" s="42"/>
      <c r="C128" s="105"/>
      <c r="D128" s="277">
        <v>296</v>
      </c>
      <c r="E128" s="100">
        <f t="shared" si="26"/>
        <v>0</v>
      </c>
      <c r="F128" s="100"/>
      <c r="G128" s="102">
        <f>SUM(G129:G135)</f>
        <v>0</v>
      </c>
      <c r="H128" s="102">
        <f t="shared" ref="H128:S128" si="49">SUM(H129:H135)</f>
        <v>0</v>
      </c>
      <c r="I128" s="102">
        <f t="shared" si="49"/>
        <v>0</v>
      </c>
      <c r="J128" s="102">
        <f t="shared" si="49"/>
        <v>0</v>
      </c>
      <c r="K128" s="102">
        <f t="shared" si="49"/>
        <v>0</v>
      </c>
      <c r="L128" s="102">
        <f t="shared" si="49"/>
        <v>0</v>
      </c>
      <c r="M128" s="102">
        <f t="shared" si="49"/>
        <v>0</v>
      </c>
      <c r="N128" s="102">
        <f t="shared" si="49"/>
        <v>0</v>
      </c>
      <c r="O128" s="102">
        <f t="shared" si="49"/>
        <v>0</v>
      </c>
      <c r="P128" s="102">
        <f t="shared" si="49"/>
        <v>0</v>
      </c>
      <c r="Q128" s="102">
        <f t="shared" si="49"/>
        <v>0</v>
      </c>
      <c r="R128" s="102">
        <f t="shared" si="49"/>
        <v>0</v>
      </c>
      <c r="S128" s="102">
        <f t="shared" si="49"/>
        <v>0</v>
      </c>
      <c r="T128" s="100">
        <f t="shared" si="27"/>
        <v>0</v>
      </c>
      <c r="U128" s="100"/>
      <c r="V128" s="102">
        <f>SUM(V129:V135)</f>
        <v>0</v>
      </c>
      <c r="W128" s="102">
        <f t="shared" ref="W128:AH128" si="50">SUM(W129:W135)</f>
        <v>0</v>
      </c>
      <c r="X128" s="102">
        <f t="shared" si="50"/>
        <v>0</v>
      </c>
      <c r="Y128" s="102">
        <f t="shared" si="50"/>
        <v>0</v>
      </c>
      <c r="Z128" s="102">
        <f t="shared" si="50"/>
        <v>0</v>
      </c>
      <c r="AA128" s="102">
        <f t="shared" si="50"/>
        <v>0</v>
      </c>
      <c r="AB128" s="102">
        <f t="shared" si="50"/>
        <v>0</v>
      </c>
      <c r="AC128" s="102">
        <f t="shared" si="50"/>
        <v>0</v>
      </c>
      <c r="AD128" s="102">
        <f t="shared" si="50"/>
        <v>0</v>
      </c>
      <c r="AE128" s="102">
        <f t="shared" si="50"/>
        <v>0</v>
      </c>
      <c r="AF128" s="102">
        <f t="shared" si="50"/>
        <v>0</v>
      </c>
      <c r="AG128" s="102">
        <f t="shared" si="50"/>
        <v>0</v>
      </c>
      <c r="AH128" s="102">
        <f t="shared" si="50"/>
        <v>0</v>
      </c>
      <c r="AI128" s="100">
        <f t="shared" si="28"/>
        <v>0</v>
      </c>
      <c r="AJ128" s="100"/>
      <c r="AK128" s="102">
        <f t="shared" ref="AK128:AW128" si="51">SUM(AK129:AK135)</f>
        <v>0</v>
      </c>
      <c r="AL128" s="102">
        <f t="shared" si="51"/>
        <v>0</v>
      </c>
      <c r="AM128" s="102">
        <f t="shared" si="51"/>
        <v>0</v>
      </c>
      <c r="AN128" s="102">
        <f t="shared" si="51"/>
        <v>0</v>
      </c>
      <c r="AO128" s="102">
        <f t="shared" si="51"/>
        <v>0</v>
      </c>
      <c r="AP128" s="102">
        <f t="shared" si="51"/>
        <v>0</v>
      </c>
      <c r="AQ128" s="102">
        <f t="shared" si="51"/>
        <v>0</v>
      </c>
      <c r="AR128" s="102">
        <f t="shared" si="51"/>
        <v>0</v>
      </c>
      <c r="AS128" s="102">
        <f t="shared" si="51"/>
        <v>0</v>
      </c>
      <c r="AT128" s="102">
        <f t="shared" si="51"/>
        <v>0</v>
      </c>
      <c r="AU128" s="102">
        <f t="shared" si="51"/>
        <v>0</v>
      </c>
      <c r="AV128" s="102">
        <f t="shared" si="51"/>
        <v>0</v>
      </c>
      <c r="AW128" s="102">
        <f t="shared" si="51"/>
        <v>0</v>
      </c>
    </row>
    <row r="129" spans="1:50" ht="47.25">
      <c r="A129" s="49" t="s">
        <v>93</v>
      </c>
      <c r="B129" s="49"/>
      <c r="C129" s="106"/>
      <c r="D129" s="278"/>
      <c r="E129" s="100">
        <f t="shared" si="26"/>
        <v>0</v>
      </c>
      <c r="F129" s="100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100">
        <f t="shared" si="27"/>
        <v>0</v>
      </c>
      <c r="U129" s="100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100">
        <f t="shared" si="28"/>
        <v>0</v>
      </c>
      <c r="AJ129" s="100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</row>
    <row r="130" spans="1:50" ht="20.25">
      <c r="A130" s="49" t="s">
        <v>94</v>
      </c>
      <c r="B130" s="49"/>
      <c r="C130" s="106"/>
      <c r="D130" s="278"/>
      <c r="E130" s="100">
        <f t="shared" si="26"/>
        <v>0</v>
      </c>
      <c r="F130" s="100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100">
        <f t="shared" si="27"/>
        <v>0</v>
      </c>
      <c r="U130" s="100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100">
        <f t="shared" si="28"/>
        <v>0</v>
      </c>
      <c r="AJ130" s="100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</row>
    <row r="131" spans="1:50" ht="20.25">
      <c r="A131" s="48" t="s">
        <v>67</v>
      </c>
      <c r="B131" s="48"/>
      <c r="C131" s="106"/>
      <c r="D131" s="278"/>
      <c r="E131" s="100">
        <f t="shared" si="26"/>
        <v>0</v>
      </c>
      <c r="F131" s="100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100">
        <f t="shared" si="27"/>
        <v>0</v>
      </c>
      <c r="U131" s="100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100">
        <f t="shared" si="28"/>
        <v>0</v>
      </c>
      <c r="AJ131" s="100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</row>
    <row r="132" spans="1:50" ht="20.25">
      <c r="A132" s="43" t="s">
        <v>95</v>
      </c>
      <c r="B132" s="48"/>
      <c r="C132" s="106"/>
      <c r="D132" s="278"/>
      <c r="E132" s="100">
        <f t="shared" si="26"/>
        <v>0</v>
      </c>
      <c r="F132" s="100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100">
        <f t="shared" si="27"/>
        <v>0</v>
      </c>
      <c r="U132" s="100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100">
        <f t="shared" si="28"/>
        <v>0</v>
      </c>
      <c r="AJ132" s="100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</row>
    <row r="133" spans="1:50" ht="20.25" hidden="1">
      <c r="A133" s="48"/>
      <c r="B133" s="48"/>
      <c r="C133" s="106"/>
      <c r="D133" s="278"/>
      <c r="E133" s="100">
        <f t="shared" ref="E133:E180" si="52">SUM(G133:S133)</f>
        <v>0</v>
      </c>
      <c r="F133" s="100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100">
        <f t="shared" ref="T133:T180" si="53">SUM(V133:AH133)</f>
        <v>0</v>
      </c>
      <c r="U133" s="100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100">
        <f t="shared" ref="AI133:AI180" si="54">SUM(AK133:AW133)</f>
        <v>0</v>
      </c>
      <c r="AJ133" s="100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</row>
    <row r="134" spans="1:50" ht="20.25" hidden="1">
      <c r="A134" s="48"/>
      <c r="B134" s="48"/>
      <c r="C134" s="106"/>
      <c r="D134" s="278"/>
      <c r="E134" s="100">
        <f t="shared" si="52"/>
        <v>0</v>
      </c>
      <c r="F134" s="100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100">
        <f t="shared" si="53"/>
        <v>0</v>
      </c>
      <c r="U134" s="100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100">
        <f t="shared" si="54"/>
        <v>0</v>
      </c>
      <c r="AJ134" s="100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</row>
    <row r="135" spans="1:50" ht="20.25" hidden="1">
      <c r="A135" s="43"/>
      <c r="B135" s="43"/>
      <c r="C135" s="106"/>
      <c r="D135" s="279"/>
      <c r="E135" s="100">
        <f t="shared" si="52"/>
        <v>0</v>
      </c>
      <c r="F135" s="100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100">
        <f t="shared" si="53"/>
        <v>0</v>
      </c>
      <c r="U135" s="100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100">
        <f t="shared" si="54"/>
        <v>0</v>
      </c>
      <c r="AJ135" s="100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</row>
    <row r="136" spans="1:50" s="95" customFormat="1" ht="20.25">
      <c r="A136" s="89" t="s">
        <v>96</v>
      </c>
      <c r="B136" s="89"/>
      <c r="C136" s="103">
        <v>300</v>
      </c>
      <c r="D136" s="108"/>
      <c r="E136" s="100">
        <f>SUM(G136:S136)+F136</f>
        <v>2174.4728499999997</v>
      </c>
      <c r="F136" s="100">
        <f>F137+F152</f>
        <v>4.9340299999999999</v>
      </c>
      <c r="G136" s="101">
        <f>G137+G150+G151+G152+G179</f>
        <v>2169.5388199999998</v>
      </c>
      <c r="H136" s="101">
        <f t="shared" ref="H136:S136" si="55">H137+H150+H151+H152+H179</f>
        <v>0</v>
      </c>
      <c r="I136" s="101">
        <f t="shared" si="55"/>
        <v>0</v>
      </c>
      <c r="J136" s="101">
        <f t="shared" si="55"/>
        <v>0</v>
      </c>
      <c r="K136" s="101">
        <f t="shared" si="55"/>
        <v>0</v>
      </c>
      <c r="L136" s="101">
        <f t="shared" si="55"/>
        <v>0</v>
      </c>
      <c r="M136" s="101">
        <f t="shared" si="55"/>
        <v>0</v>
      </c>
      <c r="N136" s="101">
        <f t="shared" si="55"/>
        <v>0</v>
      </c>
      <c r="O136" s="101">
        <f t="shared" si="55"/>
        <v>0</v>
      </c>
      <c r="P136" s="101">
        <f t="shared" si="55"/>
        <v>0</v>
      </c>
      <c r="Q136" s="101">
        <f t="shared" si="55"/>
        <v>0</v>
      </c>
      <c r="R136" s="101">
        <f t="shared" si="55"/>
        <v>0</v>
      </c>
      <c r="S136" s="101">
        <f t="shared" si="55"/>
        <v>0</v>
      </c>
      <c r="T136" s="100">
        <f>SUM(U136:AH136)</f>
        <v>2174.4728499999997</v>
      </c>
      <c r="U136" s="100">
        <f>U152</f>
        <v>4.9340299999999999</v>
      </c>
      <c r="V136" s="101">
        <f>V137+V150+V151+V152+V179</f>
        <v>2169.5388199999998</v>
      </c>
      <c r="W136" s="101">
        <f t="shared" ref="W136:AH136" si="56">W137+W150+W151+W152+W179</f>
        <v>0</v>
      </c>
      <c r="X136" s="101">
        <f t="shared" si="56"/>
        <v>0</v>
      </c>
      <c r="Y136" s="101">
        <f t="shared" si="56"/>
        <v>0</v>
      </c>
      <c r="Z136" s="101">
        <f t="shared" si="56"/>
        <v>0</v>
      </c>
      <c r="AA136" s="101">
        <f t="shared" si="56"/>
        <v>0</v>
      </c>
      <c r="AB136" s="101">
        <f t="shared" si="56"/>
        <v>0</v>
      </c>
      <c r="AC136" s="101">
        <f t="shared" si="56"/>
        <v>0</v>
      </c>
      <c r="AD136" s="101">
        <f t="shared" si="56"/>
        <v>0</v>
      </c>
      <c r="AE136" s="101">
        <f t="shared" si="56"/>
        <v>0</v>
      </c>
      <c r="AF136" s="101">
        <f t="shared" si="56"/>
        <v>0</v>
      </c>
      <c r="AG136" s="101">
        <f t="shared" si="56"/>
        <v>0</v>
      </c>
      <c r="AH136" s="101">
        <f t="shared" si="56"/>
        <v>0</v>
      </c>
      <c r="AI136" s="100">
        <f>SUM(AJ136:AW136)</f>
        <v>2174.4728500000001</v>
      </c>
      <c r="AJ136" s="100">
        <f>AJ152</f>
        <v>4.9340299999999999</v>
      </c>
      <c r="AK136" s="101">
        <f t="shared" ref="AK136:AW136" si="57">AK137+AK150+AK151+AK152+AK179</f>
        <v>2169.5388200000002</v>
      </c>
      <c r="AL136" s="101">
        <f t="shared" si="57"/>
        <v>0</v>
      </c>
      <c r="AM136" s="101">
        <f t="shared" si="57"/>
        <v>0</v>
      </c>
      <c r="AN136" s="101">
        <f t="shared" si="57"/>
        <v>0</v>
      </c>
      <c r="AO136" s="101">
        <f t="shared" si="57"/>
        <v>0</v>
      </c>
      <c r="AP136" s="101">
        <f t="shared" si="57"/>
        <v>0</v>
      </c>
      <c r="AQ136" s="101">
        <f t="shared" si="57"/>
        <v>0</v>
      </c>
      <c r="AR136" s="101">
        <f t="shared" si="57"/>
        <v>0</v>
      </c>
      <c r="AS136" s="101">
        <f t="shared" si="57"/>
        <v>0</v>
      </c>
      <c r="AT136" s="101">
        <f t="shared" si="57"/>
        <v>0</v>
      </c>
      <c r="AU136" s="101">
        <f t="shared" si="57"/>
        <v>0</v>
      </c>
      <c r="AV136" s="101">
        <f t="shared" si="57"/>
        <v>0</v>
      </c>
      <c r="AW136" s="101">
        <f t="shared" si="57"/>
        <v>0</v>
      </c>
    </row>
    <row r="137" spans="1:50" s="95" customFormat="1" ht="20.25">
      <c r="A137" s="89" t="s">
        <v>97</v>
      </c>
      <c r="B137" s="89"/>
      <c r="C137" s="103">
        <v>310</v>
      </c>
      <c r="D137" s="108"/>
      <c r="E137" s="100">
        <f t="shared" si="52"/>
        <v>1048.9914799999999</v>
      </c>
      <c r="F137" s="100"/>
      <c r="G137" s="101">
        <f>SUM(G138:G149)</f>
        <v>1048.9914799999999</v>
      </c>
      <c r="H137" s="101">
        <f t="shared" ref="H137:S137" si="58">SUM(H138:H149)</f>
        <v>0</v>
      </c>
      <c r="I137" s="101">
        <f t="shared" si="58"/>
        <v>0</v>
      </c>
      <c r="J137" s="101">
        <f t="shared" si="58"/>
        <v>0</v>
      </c>
      <c r="K137" s="101">
        <f t="shared" si="58"/>
        <v>0</v>
      </c>
      <c r="L137" s="101">
        <f t="shared" si="58"/>
        <v>0</v>
      </c>
      <c r="M137" s="101">
        <f t="shared" si="58"/>
        <v>0</v>
      </c>
      <c r="N137" s="101">
        <f t="shared" si="58"/>
        <v>0</v>
      </c>
      <c r="O137" s="101">
        <f t="shared" si="58"/>
        <v>0</v>
      </c>
      <c r="P137" s="101">
        <f t="shared" si="58"/>
        <v>0</v>
      </c>
      <c r="Q137" s="101">
        <f t="shared" si="58"/>
        <v>0</v>
      </c>
      <c r="R137" s="101">
        <f t="shared" si="58"/>
        <v>0</v>
      </c>
      <c r="S137" s="101">
        <f t="shared" si="58"/>
        <v>0</v>
      </c>
      <c r="T137" s="100">
        <f t="shared" si="53"/>
        <v>1048.9914799999999</v>
      </c>
      <c r="U137" s="100"/>
      <c r="V137" s="101">
        <f>SUM(V138:V149)</f>
        <v>1048.9914799999999</v>
      </c>
      <c r="W137" s="101">
        <f t="shared" ref="W137:AH137" si="59">SUM(W138:W149)</f>
        <v>0</v>
      </c>
      <c r="X137" s="101">
        <f t="shared" si="59"/>
        <v>0</v>
      </c>
      <c r="Y137" s="101">
        <f t="shared" si="59"/>
        <v>0</v>
      </c>
      <c r="Z137" s="101">
        <f t="shared" si="59"/>
        <v>0</v>
      </c>
      <c r="AA137" s="101">
        <f t="shared" si="59"/>
        <v>0</v>
      </c>
      <c r="AB137" s="101">
        <f t="shared" si="59"/>
        <v>0</v>
      </c>
      <c r="AC137" s="101">
        <f t="shared" si="59"/>
        <v>0</v>
      </c>
      <c r="AD137" s="101">
        <f t="shared" si="59"/>
        <v>0</v>
      </c>
      <c r="AE137" s="101">
        <f t="shared" si="59"/>
        <v>0</v>
      </c>
      <c r="AF137" s="101">
        <f t="shared" si="59"/>
        <v>0</v>
      </c>
      <c r="AG137" s="101">
        <f t="shared" si="59"/>
        <v>0</v>
      </c>
      <c r="AH137" s="101">
        <f t="shared" si="59"/>
        <v>0</v>
      </c>
      <c r="AI137" s="100">
        <f t="shared" si="54"/>
        <v>1048.9914800000001</v>
      </c>
      <c r="AJ137" s="100"/>
      <c r="AK137" s="101">
        <f t="shared" ref="AK137:AW137" si="60">SUM(AK138:AK149)</f>
        <v>1048.9914800000001</v>
      </c>
      <c r="AL137" s="101">
        <f t="shared" si="60"/>
        <v>0</v>
      </c>
      <c r="AM137" s="101">
        <f t="shared" si="60"/>
        <v>0</v>
      </c>
      <c r="AN137" s="101">
        <f t="shared" si="60"/>
        <v>0</v>
      </c>
      <c r="AO137" s="101">
        <f t="shared" si="60"/>
        <v>0</v>
      </c>
      <c r="AP137" s="101">
        <f t="shared" si="60"/>
        <v>0</v>
      </c>
      <c r="AQ137" s="101">
        <f t="shared" si="60"/>
        <v>0</v>
      </c>
      <c r="AR137" s="101">
        <f t="shared" si="60"/>
        <v>0</v>
      </c>
      <c r="AS137" s="101">
        <f t="shared" si="60"/>
        <v>0</v>
      </c>
      <c r="AT137" s="101">
        <f t="shared" si="60"/>
        <v>0</v>
      </c>
      <c r="AU137" s="101">
        <f t="shared" si="60"/>
        <v>0</v>
      </c>
      <c r="AV137" s="101">
        <f t="shared" si="60"/>
        <v>0</v>
      </c>
      <c r="AW137" s="101">
        <f t="shared" si="60"/>
        <v>0</v>
      </c>
      <c r="AX137" s="203">
        <f>V137-AK137</f>
        <v>0</v>
      </c>
    </row>
    <row r="138" spans="1:50" ht="20.25">
      <c r="A138" s="43" t="s">
        <v>208</v>
      </c>
      <c r="B138" s="43"/>
      <c r="C138" s="106"/>
      <c r="D138" s="107"/>
      <c r="E138" s="100">
        <f t="shared" si="52"/>
        <v>47.9</v>
      </c>
      <c r="F138" s="100"/>
      <c r="G138" s="99">
        <v>47.9</v>
      </c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100">
        <f t="shared" si="53"/>
        <v>47.9</v>
      </c>
      <c r="U138" s="100"/>
      <c r="V138" s="99">
        <v>47.9</v>
      </c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100">
        <f t="shared" si="54"/>
        <v>47.9</v>
      </c>
      <c r="AJ138" s="100"/>
      <c r="AK138" s="99">
        <v>47.9</v>
      </c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</row>
    <row r="139" spans="1:50" ht="20.25">
      <c r="A139" s="43" t="s">
        <v>229</v>
      </c>
      <c r="B139" s="43"/>
      <c r="C139" s="106"/>
      <c r="D139" s="107"/>
      <c r="E139" s="100">
        <f t="shared" si="52"/>
        <v>459.55</v>
      </c>
      <c r="F139" s="100"/>
      <c r="G139" s="99">
        <v>459.55</v>
      </c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100">
        <f t="shared" si="53"/>
        <v>459.55</v>
      </c>
      <c r="U139" s="100"/>
      <c r="V139" s="99">
        <f>495.55-36</f>
        <v>459.55</v>
      </c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100">
        <f t="shared" si="54"/>
        <v>459.55</v>
      </c>
      <c r="AJ139" s="100"/>
      <c r="AK139" s="99">
        <v>459.55</v>
      </c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195">
        <f>AK139-V139</f>
        <v>0</v>
      </c>
    </row>
    <row r="140" spans="1:50" ht="20.25">
      <c r="A140" s="43" t="s">
        <v>209</v>
      </c>
      <c r="B140" s="43"/>
      <c r="C140" s="106"/>
      <c r="D140" s="107"/>
      <c r="E140" s="100">
        <f t="shared" si="52"/>
        <v>1.4850000000000001</v>
      </c>
      <c r="F140" s="100"/>
      <c r="G140" s="99">
        <v>1.4850000000000001</v>
      </c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100">
        <f t="shared" si="53"/>
        <v>1.4850000000000001</v>
      </c>
      <c r="U140" s="100"/>
      <c r="V140" s="99">
        <v>1.4850000000000001</v>
      </c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100">
        <f t="shared" si="54"/>
        <v>1.4849999999999999</v>
      </c>
      <c r="AJ140" s="100"/>
      <c r="AK140" s="99">
        <f>0.84+0.645</f>
        <v>1.4849999999999999</v>
      </c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</row>
    <row r="141" spans="1:50" ht="20.25">
      <c r="A141" s="43" t="s">
        <v>210</v>
      </c>
      <c r="B141" s="43"/>
      <c r="C141" s="106"/>
      <c r="D141" s="107"/>
      <c r="E141" s="100">
        <f t="shared" si="52"/>
        <v>11.157</v>
      </c>
      <c r="F141" s="100"/>
      <c r="G141" s="99">
        <v>11.157</v>
      </c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100">
        <f t="shared" si="53"/>
        <v>11.157</v>
      </c>
      <c r="U141" s="100"/>
      <c r="V141" s="99">
        <v>11.157</v>
      </c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100">
        <f t="shared" si="54"/>
        <v>11.157</v>
      </c>
      <c r="AJ141" s="100"/>
      <c r="AK141" s="99">
        <v>11.157</v>
      </c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</row>
    <row r="142" spans="1:50" ht="20.25">
      <c r="A142" s="43" t="s">
        <v>98</v>
      </c>
      <c r="B142" s="43"/>
      <c r="C142" s="106"/>
      <c r="D142" s="107"/>
      <c r="E142" s="100">
        <f t="shared" si="52"/>
        <v>397.34899999999993</v>
      </c>
      <c r="F142" s="100"/>
      <c r="G142" s="99">
        <f>88.049+187.5+309.3-187.5</f>
        <v>397.34899999999993</v>
      </c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100">
        <f t="shared" si="53"/>
        <v>397.34899999999993</v>
      </c>
      <c r="U142" s="100"/>
      <c r="V142" s="99">
        <f>88.049+187.5+309.3-187.5</f>
        <v>397.34899999999993</v>
      </c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100">
        <f t="shared" si="54"/>
        <v>397.34900000000005</v>
      </c>
      <c r="AJ142" s="100"/>
      <c r="AK142" s="99">
        <f>88.049+309.3</f>
        <v>397.34900000000005</v>
      </c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</row>
    <row r="143" spans="1:50" ht="20.25" hidden="1">
      <c r="A143" s="43"/>
      <c r="B143" s="43"/>
      <c r="C143" s="106"/>
      <c r="D143" s="107"/>
      <c r="E143" s="100">
        <f t="shared" si="52"/>
        <v>0</v>
      </c>
      <c r="F143" s="100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100">
        <f t="shared" si="53"/>
        <v>0</v>
      </c>
      <c r="U143" s="100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100">
        <f t="shared" si="54"/>
        <v>0</v>
      </c>
      <c r="AJ143" s="100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</row>
    <row r="144" spans="1:50" ht="20.25">
      <c r="A144" s="43" t="s">
        <v>218</v>
      </c>
      <c r="B144" s="43"/>
      <c r="C144" s="106"/>
      <c r="D144" s="107"/>
      <c r="E144" s="100">
        <f t="shared" si="52"/>
        <v>19.7</v>
      </c>
      <c r="F144" s="100"/>
      <c r="G144" s="99">
        <v>19.7</v>
      </c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100">
        <f t="shared" si="53"/>
        <v>19.7</v>
      </c>
      <c r="U144" s="100"/>
      <c r="V144" s="99">
        <v>19.7</v>
      </c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100">
        <f t="shared" si="54"/>
        <v>19.7</v>
      </c>
      <c r="AJ144" s="100"/>
      <c r="AK144" s="99">
        <v>19.7</v>
      </c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</row>
    <row r="145" spans="1:49" ht="20.25">
      <c r="A145" s="43" t="s">
        <v>221</v>
      </c>
      <c r="B145" s="43"/>
      <c r="C145" s="106"/>
      <c r="D145" s="107"/>
      <c r="E145" s="100">
        <f t="shared" si="52"/>
        <v>111.85048</v>
      </c>
      <c r="F145" s="100"/>
      <c r="G145" s="99">
        <v>111.85048</v>
      </c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100">
        <f t="shared" si="53"/>
        <v>111.85048</v>
      </c>
      <c r="U145" s="100"/>
      <c r="V145" s="99">
        <f>93.5+18.35048</f>
        <v>111.85048</v>
      </c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100">
        <f t="shared" si="54"/>
        <v>111.85048</v>
      </c>
      <c r="AJ145" s="100"/>
      <c r="AK145" s="99">
        <f>93.5+18.35048</f>
        <v>111.85048</v>
      </c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</row>
    <row r="146" spans="1:49" ht="20.25" hidden="1">
      <c r="A146" s="43"/>
      <c r="B146" s="43"/>
      <c r="C146" s="106"/>
      <c r="D146" s="107"/>
      <c r="E146" s="100">
        <f t="shared" si="52"/>
        <v>0</v>
      </c>
      <c r="F146" s="100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100">
        <f t="shared" si="53"/>
        <v>0</v>
      </c>
      <c r="U146" s="100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100">
        <f t="shared" si="54"/>
        <v>0</v>
      </c>
      <c r="AJ146" s="100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</row>
    <row r="147" spans="1:49" ht="20.25" hidden="1">
      <c r="A147" s="43"/>
      <c r="B147" s="43"/>
      <c r="C147" s="106"/>
      <c r="D147" s="107"/>
      <c r="E147" s="100">
        <f t="shared" si="52"/>
        <v>0</v>
      </c>
      <c r="F147" s="100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100">
        <f t="shared" si="53"/>
        <v>0</v>
      </c>
      <c r="U147" s="100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100">
        <f t="shared" si="54"/>
        <v>0</v>
      </c>
      <c r="AJ147" s="100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</row>
    <row r="148" spans="1:49" ht="20.25" hidden="1">
      <c r="A148" s="43"/>
      <c r="B148" s="43"/>
      <c r="C148" s="106"/>
      <c r="D148" s="107"/>
      <c r="E148" s="100">
        <f t="shared" si="52"/>
        <v>0</v>
      </c>
      <c r="F148" s="100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100">
        <f t="shared" si="53"/>
        <v>0</v>
      </c>
      <c r="U148" s="100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100">
        <f t="shared" si="54"/>
        <v>0</v>
      </c>
      <c r="AJ148" s="100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</row>
    <row r="149" spans="1:49" ht="20.25" hidden="1">
      <c r="A149" s="43"/>
      <c r="B149" s="43"/>
      <c r="C149" s="106"/>
      <c r="D149" s="107"/>
      <c r="E149" s="100">
        <f t="shared" si="52"/>
        <v>0</v>
      </c>
      <c r="F149" s="100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100">
        <f t="shared" si="53"/>
        <v>0</v>
      </c>
      <c r="U149" s="100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100">
        <f t="shared" si="54"/>
        <v>0</v>
      </c>
      <c r="AJ149" s="100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</row>
    <row r="150" spans="1:49" s="95" customFormat="1" ht="20.25">
      <c r="A150" s="89" t="s">
        <v>104</v>
      </c>
      <c r="B150" s="89"/>
      <c r="C150" s="103">
        <v>320</v>
      </c>
      <c r="D150" s="108"/>
      <c r="E150" s="100">
        <f t="shared" si="52"/>
        <v>0</v>
      </c>
      <c r="F150" s="100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100">
        <f t="shared" si="53"/>
        <v>0</v>
      </c>
      <c r="U150" s="100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100">
        <f t="shared" si="54"/>
        <v>0</v>
      </c>
      <c r="AJ150" s="100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</row>
    <row r="151" spans="1:49" s="95" customFormat="1" ht="20.25">
      <c r="A151" s="89" t="s">
        <v>105</v>
      </c>
      <c r="B151" s="89"/>
      <c r="C151" s="103">
        <v>330</v>
      </c>
      <c r="D151" s="108"/>
      <c r="E151" s="100">
        <f t="shared" si="52"/>
        <v>0</v>
      </c>
      <c r="F151" s="100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100">
        <f t="shared" si="53"/>
        <v>0</v>
      </c>
      <c r="U151" s="100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100">
        <f t="shared" si="54"/>
        <v>0</v>
      </c>
      <c r="AJ151" s="100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</row>
    <row r="152" spans="1:49" s="95" customFormat="1" ht="20.25">
      <c r="A152" s="89" t="s">
        <v>106</v>
      </c>
      <c r="B152" s="89"/>
      <c r="C152" s="103">
        <v>340</v>
      </c>
      <c r="D152" s="108"/>
      <c r="E152" s="100">
        <f>SUM(F152:S152)</f>
        <v>1125.48137</v>
      </c>
      <c r="F152" s="100">
        <f>F153+F154+F155+F156+F157+F158</f>
        <v>4.9340299999999999</v>
      </c>
      <c r="G152" s="101">
        <f>G153+G154+G155+G156+G157+G158+G171</f>
        <v>1120.5473400000001</v>
      </c>
      <c r="H152" s="101">
        <f t="shared" ref="H152:S152" si="61">H153+H154+H155+H156+H157+H158+H171</f>
        <v>0</v>
      </c>
      <c r="I152" s="101">
        <f t="shared" si="61"/>
        <v>0</v>
      </c>
      <c r="J152" s="101">
        <f t="shared" si="61"/>
        <v>0</v>
      </c>
      <c r="K152" s="101">
        <f t="shared" si="61"/>
        <v>0</v>
      </c>
      <c r="L152" s="101">
        <f t="shared" si="61"/>
        <v>0</v>
      </c>
      <c r="M152" s="101">
        <f t="shared" si="61"/>
        <v>0</v>
      </c>
      <c r="N152" s="101">
        <f t="shared" si="61"/>
        <v>0</v>
      </c>
      <c r="O152" s="101">
        <f t="shared" si="61"/>
        <v>0</v>
      </c>
      <c r="P152" s="101">
        <f t="shared" si="61"/>
        <v>0</v>
      </c>
      <c r="Q152" s="101">
        <f t="shared" si="61"/>
        <v>0</v>
      </c>
      <c r="R152" s="101">
        <f t="shared" si="61"/>
        <v>0</v>
      </c>
      <c r="S152" s="101">
        <f t="shared" si="61"/>
        <v>0</v>
      </c>
      <c r="T152" s="100">
        <f>SUM(U152:AH152)</f>
        <v>1125.48137</v>
      </c>
      <c r="U152" s="100">
        <f>U167</f>
        <v>4.9340299999999999</v>
      </c>
      <c r="V152" s="101">
        <f>V153+V154+V155+V156+V157+V158+V171</f>
        <v>1120.5473400000001</v>
      </c>
      <c r="W152" s="101">
        <f t="shared" ref="W152:AH152" si="62">W153+W154+W155+W156+W157+W158+W171</f>
        <v>0</v>
      </c>
      <c r="X152" s="101">
        <f t="shared" si="62"/>
        <v>0</v>
      </c>
      <c r="Y152" s="101">
        <f t="shared" si="62"/>
        <v>0</v>
      </c>
      <c r="Z152" s="101">
        <f t="shared" si="62"/>
        <v>0</v>
      </c>
      <c r="AA152" s="101">
        <f t="shared" si="62"/>
        <v>0</v>
      </c>
      <c r="AB152" s="101">
        <f t="shared" si="62"/>
        <v>0</v>
      </c>
      <c r="AC152" s="101">
        <f t="shared" si="62"/>
        <v>0</v>
      </c>
      <c r="AD152" s="101">
        <f t="shared" si="62"/>
        <v>0</v>
      </c>
      <c r="AE152" s="101">
        <f t="shared" si="62"/>
        <v>0</v>
      </c>
      <c r="AF152" s="101">
        <f t="shared" si="62"/>
        <v>0</v>
      </c>
      <c r="AG152" s="101">
        <f t="shared" si="62"/>
        <v>0</v>
      </c>
      <c r="AH152" s="101">
        <f t="shared" si="62"/>
        <v>0</v>
      </c>
      <c r="AI152" s="100">
        <f>SUM(AJ152:AW152)</f>
        <v>1125.48137</v>
      </c>
      <c r="AJ152" s="100">
        <f>AJ167</f>
        <v>4.9340299999999999</v>
      </c>
      <c r="AK152" s="101">
        <f t="shared" ref="AK152:AW152" si="63">AK153+AK154+AK155+AK156+AK157+AK158+AK171</f>
        <v>1120.5473400000001</v>
      </c>
      <c r="AL152" s="101">
        <f t="shared" si="63"/>
        <v>0</v>
      </c>
      <c r="AM152" s="101">
        <f t="shared" si="63"/>
        <v>0</v>
      </c>
      <c r="AN152" s="101">
        <f t="shared" si="63"/>
        <v>0</v>
      </c>
      <c r="AO152" s="101">
        <f t="shared" si="63"/>
        <v>0</v>
      </c>
      <c r="AP152" s="101">
        <f t="shared" si="63"/>
        <v>0</v>
      </c>
      <c r="AQ152" s="101">
        <f t="shared" si="63"/>
        <v>0</v>
      </c>
      <c r="AR152" s="101">
        <f t="shared" si="63"/>
        <v>0</v>
      </c>
      <c r="AS152" s="101">
        <f t="shared" si="63"/>
        <v>0</v>
      </c>
      <c r="AT152" s="101">
        <f t="shared" si="63"/>
        <v>0</v>
      </c>
      <c r="AU152" s="101">
        <f t="shared" si="63"/>
        <v>0</v>
      </c>
      <c r="AV152" s="101">
        <f t="shared" si="63"/>
        <v>0</v>
      </c>
      <c r="AW152" s="101">
        <f t="shared" si="63"/>
        <v>0</v>
      </c>
    </row>
    <row r="153" spans="1:49" s="94" customFormat="1" ht="45" customHeight="1">
      <c r="A153" s="42" t="s">
        <v>107</v>
      </c>
      <c r="B153" s="42"/>
      <c r="C153" s="105"/>
      <c r="D153" s="107">
        <v>341</v>
      </c>
      <c r="E153" s="100">
        <f t="shared" si="52"/>
        <v>86.562830000000005</v>
      </c>
      <c r="F153" s="100"/>
      <c r="G153" s="98">
        <v>86.562830000000005</v>
      </c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100">
        <f t="shared" si="53"/>
        <v>86.562830000000005</v>
      </c>
      <c r="U153" s="100"/>
      <c r="V153" s="98">
        <v>86.562830000000005</v>
      </c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100">
        <f t="shared" si="54"/>
        <v>86.562830000000005</v>
      </c>
      <c r="AJ153" s="100"/>
      <c r="AK153" s="98">
        <f>37+7.88696+0.8058+38.88339+1.98668</f>
        <v>86.562830000000005</v>
      </c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</row>
    <row r="154" spans="1:49" s="94" customFormat="1" ht="35.25" customHeight="1">
      <c r="A154" s="42" t="s">
        <v>108</v>
      </c>
      <c r="B154" s="42"/>
      <c r="C154" s="105"/>
      <c r="D154" s="107">
        <v>342</v>
      </c>
      <c r="E154" s="100">
        <f>SUM(G154:S154)+F154</f>
        <v>208.84683999999999</v>
      </c>
      <c r="F154" s="100">
        <f>0.493-0.493</f>
        <v>0</v>
      </c>
      <c r="G154" s="98">
        <v>208.84683999999999</v>
      </c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100">
        <f t="shared" si="53"/>
        <v>208.84683999999999</v>
      </c>
      <c r="U154" s="100"/>
      <c r="V154" s="98">
        <v>208.84683999999999</v>
      </c>
      <c r="W154" s="98">
        <v>0</v>
      </c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100">
        <f t="shared" si="54"/>
        <v>208.84683999999999</v>
      </c>
      <c r="AJ154" s="100"/>
      <c r="AK154" s="98">
        <f>33.59664+0.58729+61.52055+7.3945+105.74786</f>
        <v>208.84683999999999</v>
      </c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</row>
    <row r="155" spans="1:49" s="94" customFormat="1" ht="20.25">
      <c r="A155" s="42" t="s">
        <v>109</v>
      </c>
      <c r="B155" s="42"/>
      <c r="C155" s="105"/>
      <c r="D155" s="107">
        <v>343</v>
      </c>
      <c r="E155" s="100">
        <f t="shared" si="52"/>
        <v>1</v>
      </c>
      <c r="F155" s="100"/>
      <c r="G155" s="98">
        <v>1</v>
      </c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100">
        <f t="shared" si="53"/>
        <v>1</v>
      </c>
      <c r="U155" s="100"/>
      <c r="V155" s="98">
        <v>1</v>
      </c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100">
        <f t="shared" si="54"/>
        <v>1</v>
      </c>
      <c r="AJ155" s="100"/>
      <c r="AK155" s="98">
        <v>1</v>
      </c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</row>
    <row r="156" spans="1:49" s="94" customFormat="1" ht="20.25">
      <c r="A156" s="42" t="s">
        <v>110</v>
      </c>
      <c r="B156" s="42"/>
      <c r="C156" s="105"/>
      <c r="D156" s="107">
        <v>344</v>
      </c>
      <c r="E156" s="100">
        <f t="shared" si="52"/>
        <v>45.117100000000001</v>
      </c>
      <c r="F156" s="100"/>
      <c r="G156" s="98">
        <v>45.117100000000001</v>
      </c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100">
        <f t="shared" si="53"/>
        <v>45.117100000000001</v>
      </c>
      <c r="U156" s="100"/>
      <c r="V156" s="98">
        <v>45.117100000000001</v>
      </c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100">
        <f t="shared" si="54"/>
        <v>45.117100000000001</v>
      </c>
      <c r="AJ156" s="100"/>
      <c r="AK156" s="98">
        <f>10.8251+5.836+4.386+24.07</f>
        <v>45.117100000000001</v>
      </c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</row>
    <row r="157" spans="1:49" s="94" customFormat="1" ht="20.25">
      <c r="A157" s="42" t="s">
        <v>111</v>
      </c>
      <c r="B157" s="42"/>
      <c r="C157" s="105"/>
      <c r="D157" s="107">
        <v>345</v>
      </c>
      <c r="E157" s="100">
        <f t="shared" si="52"/>
        <v>170.655</v>
      </c>
      <c r="F157" s="100"/>
      <c r="G157" s="98">
        <v>170.655</v>
      </c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100">
        <f t="shared" si="53"/>
        <v>170.655</v>
      </c>
      <c r="U157" s="100"/>
      <c r="V157" s="98">
        <v>170.655</v>
      </c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100">
        <f t="shared" si="54"/>
        <v>170.655</v>
      </c>
      <c r="AJ157" s="100"/>
      <c r="AK157" s="98">
        <f>37.29+98.31+0.055+35</f>
        <v>170.655</v>
      </c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</row>
    <row r="158" spans="1:49" s="94" customFormat="1" ht="20.25">
      <c r="A158" s="42" t="s">
        <v>112</v>
      </c>
      <c r="B158" s="42"/>
      <c r="C158" s="105"/>
      <c r="D158" s="277">
        <v>346</v>
      </c>
      <c r="E158" s="100">
        <f>SUM(G158:S158)+F158</f>
        <v>611.82460000000003</v>
      </c>
      <c r="F158" s="100">
        <f>F159+F161+F162+F165+F166+F167</f>
        <v>4.9340299999999999</v>
      </c>
      <c r="G158" s="102">
        <f>SUM(G159:G170)</f>
        <v>606.89057000000003</v>
      </c>
      <c r="H158" s="102">
        <f t="shared" ref="H158:S158" si="64">SUM(H159:H170)</f>
        <v>0</v>
      </c>
      <c r="I158" s="102">
        <f t="shared" si="64"/>
        <v>0</v>
      </c>
      <c r="J158" s="102">
        <f t="shared" si="64"/>
        <v>0</v>
      </c>
      <c r="K158" s="102">
        <f t="shared" si="64"/>
        <v>0</v>
      </c>
      <c r="L158" s="102">
        <f t="shared" si="64"/>
        <v>0</v>
      </c>
      <c r="M158" s="102">
        <f t="shared" si="64"/>
        <v>0</v>
      </c>
      <c r="N158" s="102">
        <f t="shared" si="64"/>
        <v>0</v>
      </c>
      <c r="O158" s="102">
        <f t="shared" si="64"/>
        <v>0</v>
      </c>
      <c r="P158" s="102">
        <f t="shared" si="64"/>
        <v>0</v>
      </c>
      <c r="Q158" s="102">
        <f t="shared" si="64"/>
        <v>0</v>
      </c>
      <c r="R158" s="102">
        <f t="shared" si="64"/>
        <v>0</v>
      </c>
      <c r="S158" s="102">
        <f t="shared" si="64"/>
        <v>0</v>
      </c>
      <c r="T158" s="100">
        <f>SUM(U158:AH158)</f>
        <v>611.82460000000003</v>
      </c>
      <c r="U158" s="100">
        <f>U167</f>
        <v>4.9340299999999999</v>
      </c>
      <c r="V158" s="102">
        <f>SUM(V159:V170)</f>
        <v>606.89057000000003</v>
      </c>
      <c r="W158" s="102">
        <f t="shared" ref="W158:AH158" si="65">SUM(W159:W170)</f>
        <v>0</v>
      </c>
      <c r="X158" s="102">
        <f t="shared" si="65"/>
        <v>0</v>
      </c>
      <c r="Y158" s="102">
        <f t="shared" si="65"/>
        <v>0</v>
      </c>
      <c r="Z158" s="102">
        <f t="shared" si="65"/>
        <v>0</v>
      </c>
      <c r="AA158" s="102">
        <f t="shared" si="65"/>
        <v>0</v>
      </c>
      <c r="AB158" s="102">
        <f t="shared" si="65"/>
        <v>0</v>
      </c>
      <c r="AC158" s="102">
        <f t="shared" si="65"/>
        <v>0</v>
      </c>
      <c r="AD158" s="102">
        <f t="shared" si="65"/>
        <v>0</v>
      </c>
      <c r="AE158" s="102">
        <f t="shared" si="65"/>
        <v>0</v>
      </c>
      <c r="AF158" s="102">
        <f t="shared" si="65"/>
        <v>0</v>
      </c>
      <c r="AG158" s="102">
        <f t="shared" si="65"/>
        <v>0</v>
      </c>
      <c r="AH158" s="102">
        <f t="shared" si="65"/>
        <v>0</v>
      </c>
      <c r="AI158" s="100">
        <f>SUM(AJ158:AW158)</f>
        <v>611.82460000000003</v>
      </c>
      <c r="AJ158" s="100">
        <f>AJ167</f>
        <v>4.9340299999999999</v>
      </c>
      <c r="AK158" s="102">
        <f t="shared" ref="AK158:AW158" si="66">SUM(AK159:AK170)</f>
        <v>606.89057000000003</v>
      </c>
      <c r="AL158" s="102">
        <f t="shared" si="66"/>
        <v>0</v>
      </c>
      <c r="AM158" s="102">
        <f t="shared" si="66"/>
        <v>0</v>
      </c>
      <c r="AN158" s="102">
        <f t="shared" si="66"/>
        <v>0</v>
      </c>
      <c r="AO158" s="102">
        <f t="shared" si="66"/>
        <v>0</v>
      </c>
      <c r="AP158" s="102">
        <f t="shared" si="66"/>
        <v>0</v>
      </c>
      <c r="AQ158" s="102">
        <f t="shared" si="66"/>
        <v>0</v>
      </c>
      <c r="AR158" s="102">
        <f t="shared" si="66"/>
        <v>0</v>
      </c>
      <c r="AS158" s="102">
        <f t="shared" si="66"/>
        <v>0</v>
      </c>
      <c r="AT158" s="102">
        <f t="shared" si="66"/>
        <v>0</v>
      </c>
      <c r="AU158" s="102">
        <f t="shared" si="66"/>
        <v>0</v>
      </c>
      <c r="AV158" s="102">
        <f t="shared" si="66"/>
        <v>0</v>
      </c>
      <c r="AW158" s="102">
        <f t="shared" si="66"/>
        <v>0</v>
      </c>
    </row>
    <row r="159" spans="1:49" ht="35.25" customHeight="1">
      <c r="A159" s="49" t="s">
        <v>220</v>
      </c>
      <c r="B159" s="49"/>
      <c r="C159" s="106"/>
      <c r="D159" s="278"/>
      <c r="E159" s="100">
        <f t="shared" si="52"/>
        <v>187.5</v>
      </c>
      <c r="F159" s="100"/>
      <c r="G159" s="99">
        <v>187.5</v>
      </c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100">
        <f t="shared" si="53"/>
        <v>187.5</v>
      </c>
      <c r="U159" s="100"/>
      <c r="V159" s="99">
        <v>187.5</v>
      </c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100">
        <f t="shared" si="54"/>
        <v>187.5</v>
      </c>
      <c r="AJ159" s="100"/>
      <c r="AK159" s="99">
        <v>187.5</v>
      </c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</row>
    <row r="160" spans="1:49" ht="20.25" hidden="1">
      <c r="A160" s="49"/>
      <c r="B160" s="49"/>
      <c r="C160" s="106"/>
      <c r="D160" s="278"/>
      <c r="E160" s="100">
        <f t="shared" si="52"/>
        <v>0</v>
      </c>
      <c r="F160" s="100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100">
        <f t="shared" si="53"/>
        <v>0</v>
      </c>
      <c r="U160" s="100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100">
        <f t="shared" si="54"/>
        <v>0</v>
      </c>
      <c r="AJ160" s="100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</row>
    <row r="161" spans="1:50" ht="27.75" customHeight="1">
      <c r="A161" s="49" t="s">
        <v>114</v>
      </c>
      <c r="B161" s="49"/>
      <c r="C161" s="106"/>
      <c r="D161" s="278"/>
      <c r="E161" s="100">
        <f>SUM(G161:S161)+F161</f>
        <v>354.08057000000002</v>
      </c>
      <c r="F161" s="100">
        <v>0</v>
      </c>
      <c r="G161" s="99">
        <v>354.08057000000002</v>
      </c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100">
        <f t="shared" si="53"/>
        <v>354.08056999999997</v>
      </c>
      <c r="U161" s="100"/>
      <c r="V161" s="99">
        <f>301.6416+129.28945-1-93.5+17.64952</f>
        <v>354.08056999999997</v>
      </c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100">
        <f t="shared" si="54"/>
        <v>354.08056999999997</v>
      </c>
      <c r="AJ161" s="100"/>
      <c r="AK161" s="99">
        <f>3.2+0.32+0.102+12.74+86.4276+92.72+92.861+0.16+0.668+0.21+2.852+0.77+0.621+0.99+2.593+4.407+5.315+47.12397</f>
        <v>354.08056999999997</v>
      </c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209"/>
    </row>
    <row r="162" spans="1:50" ht="37.5" customHeight="1">
      <c r="A162" s="49" t="s">
        <v>115</v>
      </c>
      <c r="B162" s="49"/>
      <c r="C162" s="106"/>
      <c r="D162" s="278"/>
      <c r="E162" s="100">
        <f t="shared" si="52"/>
        <v>0</v>
      </c>
      <c r="F162" s="100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100">
        <f t="shared" si="53"/>
        <v>0</v>
      </c>
      <c r="U162" s="100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100">
        <f t="shared" si="54"/>
        <v>0</v>
      </c>
      <c r="AJ162" s="100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</row>
    <row r="163" spans="1:50" ht="20.25" hidden="1">
      <c r="A163" s="49"/>
      <c r="B163" s="49"/>
      <c r="C163" s="106"/>
      <c r="D163" s="278"/>
      <c r="E163" s="100">
        <f t="shared" si="52"/>
        <v>0</v>
      </c>
      <c r="F163" s="100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100">
        <f t="shared" si="53"/>
        <v>0</v>
      </c>
      <c r="U163" s="100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100">
        <f t="shared" si="54"/>
        <v>0</v>
      </c>
      <c r="AJ163" s="100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</row>
    <row r="164" spans="1:50" ht="20.25" hidden="1">
      <c r="A164" s="49"/>
      <c r="B164" s="49"/>
      <c r="C164" s="106"/>
      <c r="D164" s="278"/>
      <c r="E164" s="100">
        <f t="shared" si="52"/>
        <v>0</v>
      </c>
      <c r="F164" s="100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100">
        <f t="shared" si="53"/>
        <v>0</v>
      </c>
      <c r="U164" s="100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100">
        <f t="shared" si="54"/>
        <v>0</v>
      </c>
      <c r="AJ164" s="100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</row>
    <row r="165" spans="1:50" ht="24.75" customHeight="1">
      <c r="A165" s="49" t="s">
        <v>116</v>
      </c>
      <c r="B165" s="49"/>
      <c r="C165" s="106"/>
      <c r="D165" s="278"/>
      <c r="E165" s="100">
        <f t="shared" si="52"/>
        <v>0</v>
      </c>
      <c r="F165" s="100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100">
        <f t="shared" si="53"/>
        <v>0</v>
      </c>
      <c r="U165" s="100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100">
        <f t="shared" si="54"/>
        <v>0</v>
      </c>
      <c r="AJ165" s="100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</row>
    <row r="166" spans="1:50" ht="20.25">
      <c r="A166" s="49" t="s">
        <v>117</v>
      </c>
      <c r="B166" s="49"/>
      <c r="C166" s="106"/>
      <c r="D166" s="278"/>
      <c r="E166" s="100">
        <f t="shared" si="52"/>
        <v>0</v>
      </c>
      <c r="F166" s="100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100">
        <f t="shared" si="53"/>
        <v>0</v>
      </c>
      <c r="U166" s="100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100">
        <f t="shared" si="54"/>
        <v>0</v>
      </c>
      <c r="AJ166" s="100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</row>
    <row r="167" spans="1:50" ht="20.25">
      <c r="A167" s="48" t="s">
        <v>118</v>
      </c>
      <c r="B167" s="49"/>
      <c r="C167" s="106"/>
      <c r="D167" s="278"/>
      <c r="E167" s="100">
        <f>SUM(G167:S167)+F167</f>
        <v>70.244030000000009</v>
      </c>
      <c r="F167" s="100">
        <v>4.9340299999999999</v>
      </c>
      <c r="G167" s="99">
        <v>65.31</v>
      </c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100">
        <f>SUM(U167:AH170)</f>
        <v>70.244030000000009</v>
      </c>
      <c r="U167" s="100">
        <f>0.2465+4.68753</f>
        <v>4.9340299999999999</v>
      </c>
      <c r="V167" s="99">
        <v>65.31</v>
      </c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100">
        <f>SUM(AJ167:AW167)</f>
        <v>70.244030000000009</v>
      </c>
      <c r="AJ167" s="100">
        <v>4.9340299999999999</v>
      </c>
      <c r="AK167" s="205">
        <f>37.601+27.709</f>
        <v>65.31</v>
      </c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</row>
    <row r="168" spans="1:50" ht="20.25" hidden="1">
      <c r="A168" s="49"/>
      <c r="B168" s="49"/>
      <c r="C168" s="106"/>
      <c r="D168" s="278"/>
      <c r="E168" s="100">
        <f t="shared" si="52"/>
        <v>0</v>
      </c>
      <c r="F168" s="100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100">
        <f t="shared" si="53"/>
        <v>0</v>
      </c>
      <c r="U168" s="100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100">
        <f t="shared" si="54"/>
        <v>0</v>
      </c>
      <c r="AJ168" s="100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</row>
    <row r="169" spans="1:50" ht="20.25" hidden="1">
      <c r="A169" s="49"/>
      <c r="B169" s="49"/>
      <c r="C169" s="106"/>
      <c r="D169" s="278"/>
      <c r="E169" s="100">
        <f t="shared" si="52"/>
        <v>0</v>
      </c>
      <c r="F169" s="100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100">
        <f t="shared" si="53"/>
        <v>0</v>
      </c>
      <c r="U169" s="100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100">
        <f t="shared" si="54"/>
        <v>0</v>
      </c>
      <c r="AJ169" s="100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</row>
    <row r="170" spans="1:50" ht="20.25" hidden="1">
      <c r="A170" s="48"/>
      <c r="B170" s="48"/>
      <c r="C170" s="106"/>
      <c r="D170" s="279"/>
      <c r="E170" s="100">
        <f t="shared" si="52"/>
        <v>0</v>
      </c>
      <c r="F170" s="100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100">
        <f t="shared" si="53"/>
        <v>0</v>
      </c>
      <c r="U170" s="100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100">
        <f t="shared" si="54"/>
        <v>0</v>
      </c>
      <c r="AJ170" s="100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</row>
    <row r="171" spans="1:50" s="94" customFormat="1" ht="31.5">
      <c r="A171" s="42" t="s">
        <v>119</v>
      </c>
      <c r="B171" s="42"/>
      <c r="C171" s="105"/>
      <c r="D171" s="274">
        <v>349</v>
      </c>
      <c r="E171" s="100">
        <f t="shared" si="52"/>
        <v>1.4750000000000001</v>
      </c>
      <c r="F171" s="100"/>
      <c r="G171" s="102">
        <f>SUM(G172:G178)</f>
        <v>1.4750000000000001</v>
      </c>
      <c r="H171" s="102">
        <f t="shared" ref="H171:S171" si="67">SUM(H172:H178)</f>
        <v>0</v>
      </c>
      <c r="I171" s="102">
        <f t="shared" si="67"/>
        <v>0</v>
      </c>
      <c r="J171" s="102">
        <f t="shared" si="67"/>
        <v>0</v>
      </c>
      <c r="K171" s="102">
        <f t="shared" si="67"/>
        <v>0</v>
      </c>
      <c r="L171" s="102">
        <f t="shared" si="67"/>
        <v>0</v>
      </c>
      <c r="M171" s="102">
        <f t="shared" si="67"/>
        <v>0</v>
      </c>
      <c r="N171" s="102">
        <f t="shared" si="67"/>
        <v>0</v>
      </c>
      <c r="O171" s="102">
        <f t="shared" si="67"/>
        <v>0</v>
      </c>
      <c r="P171" s="102">
        <f t="shared" si="67"/>
        <v>0</v>
      </c>
      <c r="Q171" s="102">
        <f t="shared" si="67"/>
        <v>0</v>
      </c>
      <c r="R171" s="102">
        <f t="shared" si="67"/>
        <v>0</v>
      </c>
      <c r="S171" s="102">
        <f t="shared" si="67"/>
        <v>0</v>
      </c>
      <c r="T171" s="100">
        <f t="shared" si="53"/>
        <v>1.4750000000000001</v>
      </c>
      <c r="U171" s="100"/>
      <c r="V171" s="102">
        <f>SUM(V172:V178)</f>
        <v>1.4750000000000001</v>
      </c>
      <c r="W171" s="102">
        <f t="shared" ref="W171:AH171" si="68">SUM(W172:W178)</f>
        <v>0</v>
      </c>
      <c r="X171" s="102">
        <f t="shared" si="68"/>
        <v>0</v>
      </c>
      <c r="Y171" s="102">
        <f t="shared" si="68"/>
        <v>0</v>
      </c>
      <c r="Z171" s="102">
        <f t="shared" si="68"/>
        <v>0</v>
      </c>
      <c r="AA171" s="102">
        <f t="shared" si="68"/>
        <v>0</v>
      </c>
      <c r="AB171" s="102">
        <f t="shared" si="68"/>
        <v>0</v>
      </c>
      <c r="AC171" s="102">
        <f t="shared" si="68"/>
        <v>0</v>
      </c>
      <c r="AD171" s="102">
        <f t="shared" si="68"/>
        <v>0</v>
      </c>
      <c r="AE171" s="102">
        <f t="shared" si="68"/>
        <v>0</v>
      </c>
      <c r="AF171" s="102">
        <f t="shared" si="68"/>
        <v>0</v>
      </c>
      <c r="AG171" s="102">
        <f t="shared" si="68"/>
        <v>0</v>
      </c>
      <c r="AH171" s="102">
        <f t="shared" si="68"/>
        <v>0</v>
      </c>
      <c r="AI171" s="100">
        <f t="shared" si="54"/>
        <v>1.4750000000000001</v>
      </c>
      <c r="AJ171" s="100"/>
      <c r="AK171" s="102">
        <f t="shared" ref="AK171:AW171" si="69">SUM(AK172:AK178)</f>
        <v>1.4750000000000001</v>
      </c>
      <c r="AL171" s="102">
        <f t="shared" si="69"/>
        <v>0</v>
      </c>
      <c r="AM171" s="102">
        <f t="shared" si="69"/>
        <v>0</v>
      </c>
      <c r="AN171" s="102">
        <f t="shared" si="69"/>
        <v>0</v>
      </c>
      <c r="AO171" s="102">
        <f t="shared" si="69"/>
        <v>0</v>
      </c>
      <c r="AP171" s="102">
        <f t="shared" si="69"/>
        <v>0</v>
      </c>
      <c r="AQ171" s="102">
        <f t="shared" si="69"/>
        <v>0</v>
      </c>
      <c r="AR171" s="102">
        <f t="shared" si="69"/>
        <v>0</v>
      </c>
      <c r="AS171" s="102">
        <f t="shared" si="69"/>
        <v>0</v>
      </c>
      <c r="AT171" s="102">
        <f t="shared" si="69"/>
        <v>0</v>
      </c>
      <c r="AU171" s="102">
        <f t="shared" si="69"/>
        <v>0</v>
      </c>
      <c r="AV171" s="102">
        <f t="shared" si="69"/>
        <v>0</v>
      </c>
      <c r="AW171" s="102">
        <f t="shared" si="69"/>
        <v>0</v>
      </c>
    </row>
    <row r="172" spans="1:50" ht="31.5">
      <c r="A172" s="49" t="s">
        <v>120</v>
      </c>
      <c r="B172" s="49"/>
      <c r="C172" s="106"/>
      <c r="D172" s="275"/>
      <c r="E172" s="100">
        <f t="shared" si="52"/>
        <v>1.4750000000000001</v>
      </c>
      <c r="F172" s="100"/>
      <c r="G172" s="99">
        <v>1.4750000000000001</v>
      </c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100">
        <f t="shared" si="53"/>
        <v>1.4750000000000001</v>
      </c>
      <c r="U172" s="100"/>
      <c r="V172" s="99">
        <v>1.4750000000000001</v>
      </c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100">
        <f t="shared" si="54"/>
        <v>1.4750000000000001</v>
      </c>
      <c r="AJ172" s="100"/>
      <c r="AK172" s="99">
        <v>1.4750000000000001</v>
      </c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</row>
    <row r="173" spans="1:50" ht="20.25">
      <c r="A173" s="49" t="s">
        <v>121</v>
      </c>
      <c r="B173" s="49"/>
      <c r="C173" s="106"/>
      <c r="D173" s="275"/>
      <c r="E173" s="100">
        <f t="shared" si="52"/>
        <v>0</v>
      </c>
      <c r="F173" s="100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100">
        <f t="shared" si="53"/>
        <v>0</v>
      </c>
      <c r="U173" s="100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100">
        <f t="shared" si="54"/>
        <v>0</v>
      </c>
      <c r="AJ173" s="100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</row>
    <row r="174" spans="1:50" ht="31.5">
      <c r="A174" s="49" t="s">
        <v>122</v>
      </c>
      <c r="B174" s="49"/>
      <c r="C174" s="106"/>
      <c r="D174" s="275"/>
      <c r="E174" s="100">
        <f t="shared" si="52"/>
        <v>0</v>
      </c>
      <c r="F174" s="100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100">
        <f t="shared" si="53"/>
        <v>0</v>
      </c>
      <c r="U174" s="100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100">
        <f t="shared" si="54"/>
        <v>0</v>
      </c>
      <c r="AJ174" s="100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</row>
    <row r="175" spans="1:50" ht="20.25">
      <c r="A175" s="49" t="s">
        <v>123</v>
      </c>
      <c r="B175" s="49"/>
      <c r="C175" s="106"/>
      <c r="D175" s="275"/>
      <c r="E175" s="100">
        <f t="shared" si="52"/>
        <v>0</v>
      </c>
      <c r="F175" s="100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100">
        <f t="shared" si="53"/>
        <v>0</v>
      </c>
      <c r="U175" s="100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100">
        <f t="shared" si="54"/>
        <v>0</v>
      </c>
      <c r="AJ175" s="100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</row>
    <row r="176" spans="1:50" ht="20.25" hidden="1">
      <c r="A176" s="49"/>
      <c r="B176" s="49"/>
      <c r="C176" s="106"/>
      <c r="D176" s="275"/>
      <c r="E176" s="100">
        <f t="shared" si="52"/>
        <v>0</v>
      </c>
      <c r="F176" s="100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100">
        <f t="shared" si="53"/>
        <v>0</v>
      </c>
      <c r="U176" s="100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100">
        <f t="shared" si="54"/>
        <v>0</v>
      </c>
      <c r="AJ176" s="100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</row>
    <row r="177" spans="1:49" ht="20.25" hidden="1">
      <c r="A177" s="49"/>
      <c r="B177" s="49"/>
      <c r="C177" s="106"/>
      <c r="D177" s="275"/>
      <c r="E177" s="100">
        <f t="shared" si="52"/>
        <v>0</v>
      </c>
      <c r="F177" s="100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100">
        <f t="shared" si="53"/>
        <v>0</v>
      </c>
      <c r="U177" s="100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100">
        <f t="shared" si="54"/>
        <v>0</v>
      </c>
      <c r="AJ177" s="100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</row>
    <row r="178" spans="1:49" ht="20.25" hidden="1">
      <c r="A178" s="49"/>
      <c r="B178" s="49"/>
      <c r="C178" s="106"/>
      <c r="D178" s="276"/>
      <c r="E178" s="100">
        <f t="shared" si="52"/>
        <v>0</v>
      </c>
      <c r="F178" s="100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100">
        <f t="shared" si="53"/>
        <v>0</v>
      </c>
      <c r="U178" s="100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100">
        <f t="shared" si="54"/>
        <v>0</v>
      </c>
      <c r="AJ178" s="100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</row>
    <row r="179" spans="1:49" s="95" customFormat="1" ht="20.25">
      <c r="A179" s="89" t="s">
        <v>124</v>
      </c>
      <c r="B179" s="89"/>
      <c r="C179" s="103">
        <v>350</v>
      </c>
      <c r="D179" s="108"/>
      <c r="E179" s="100">
        <f t="shared" si="52"/>
        <v>0</v>
      </c>
      <c r="F179" s="100"/>
      <c r="G179" s="101">
        <f>G180</f>
        <v>0</v>
      </c>
      <c r="H179" s="101">
        <f t="shared" ref="H179:S179" si="70">H180</f>
        <v>0</v>
      </c>
      <c r="I179" s="101">
        <f t="shared" si="70"/>
        <v>0</v>
      </c>
      <c r="J179" s="101">
        <f t="shared" si="70"/>
        <v>0</v>
      </c>
      <c r="K179" s="101">
        <f t="shared" si="70"/>
        <v>0</v>
      </c>
      <c r="L179" s="101">
        <f t="shared" si="70"/>
        <v>0</v>
      </c>
      <c r="M179" s="101">
        <f t="shared" si="70"/>
        <v>0</v>
      </c>
      <c r="N179" s="101">
        <f t="shared" si="70"/>
        <v>0</v>
      </c>
      <c r="O179" s="101">
        <f t="shared" si="70"/>
        <v>0</v>
      </c>
      <c r="P179" s="101">
        <f t="shared" si="70"/>
        <v>0</v>
      </c>
      <c r="Q179" s="101">
        <f t="shared" si="70"/>
        <v>0</v>
      </c>
      <c r="R179" s="101">
        <f t="shared" si="70"/>
        <v>0</v>
      </c>
      <c r="S179" s="101">
        <f t="shared" si="70"/>
        <v>0</v>
      </c>
      <c r="T179" s="100">
        <f t="shared" si="53"/>
        <v>0</v>
      </c>
      <c r="U179" s="100"/>
      <c r="V179" s="101">
        <f>V180</f>
        <v>0</v>
      </c>
      <c r="W179" s="101">
        <f t="shared" ref="W179:AH179" si="71">W180</f>
        <v>0</v>
      </c>
      <c r="X179" s="101">
        <f t="shared" si="71"/>
        <v>0</v>
      </c>
      <c r="Y179" s="101">
        <f t="shared" si="71"/>
        <v>0</v>
      </c>
      <c r="Z179" s="101">
        <f t="shared" si="71"/>
        <v>0</v>
      </c>
      <c r="AA179" s="101">
        <f t="shared" si="71"/>
        <v>0</v>
      </c>
      <c r="AB179" s="101">
        <f t="shared" si="71"/>
        <v>0</v>
      </c>
      <c r="AC179" s="101">
        <f t="shared" si="71"/>
        <v>0</v>
      </c>
      <c r="AD179" s="101">
        <f t="shared" si="71"/>
        <v>0</v>
      </c>
      <c r="AE179" s="101">
        <f t="shared" si="71"/>
        <v>0</v>
      </c>
      <c r="AF179" s="101">
        <f t="shared" si="71"/>
        <v>0</v>
      </c>
      <c r="AG179" s="101">
        <f t="shared" si="71"/>
        <v>0</v>
      </c>
      <c r="AH179" s="101">
        <f t="shared" si="71"/>
        <v>0</v>
      </c>
      <c r="AI179" s="100">
        <f t="shared" si="54"/>
        <v>0</v>
      </c>
      <c r="AJ179" s="100"/>
      <c r="AK179" s="101">
        <f t="shared" ref="AK179:AW179" si="72">AK180</f>
        <v>0</v>
      </c>
      <c r="AL179" s="101">
        <f t="shared" si="72"/>
        <v>0</v>
      </c>
      <c r="AM179" s="101">
        <f t="shared" si="72"/>
        <v>0</v>
      </c>
      <c r="AN179" s="101">
        <f t="shared" si="72"/>
        <v>0</v>
      </c>
      <c r="AO179" s="101">
        <f t="shared" si="72"/>
        <v>0</v>
      </c>
      <c r="AP179" s="101">
        <f t="shared" si="72"/>
        <v>0</v>
      </c>
      <c r="AQ179" s="101">
        <f t="shared" si="72"/>
        <v>0</v>
      </c>
      <c r="AR179" s="101">
        <f t="shared" si="72"/>
        <v>0</v>
      </c>
      <c r="AS179" s="101">
        <f t="shared" si="72"/>
        <v>0</v>
      </c>
      <c r="AT179" s="101">
        <f t="shared" si="72"/>
        <v>0</v>
      </c>
      <c r="AU179" s="101">
        <f t="shared" si="72"/>
        <v>0</v>
      </c>
      <c r="AV179" s="101">
        <f t="shared" si="72"/>
        <v>0</v>
      </c>
      <c r="AW179" s="101">
        <f t="shared" si="72"/>
        <v>0</v>
      </c>
    </row>
    <row r="180" spans="1:49" s="94" customFormat="1" ht="47.25">
      <c r="A180" s="42" t="s">
        <v>125</v>
      </c>
      <c r="B180" s="42"/>
      <c r="C180" s="105"/>
      <c r="D180" s="109">
        <v>353</v>
      </c>
      <c r="E180" s="100">
        <f t="shared" si="52"/>
        <v>0</v>
      </c>
      <c r="F180" s="100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100">
        <f t="shared" si="53"/>
        <v>0</v>
      </c>
      <c r="U180" s="100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100">
        <f t="shared" si="54"/>
        <v>0</v>
      </c>
      <c r="AJ180" s="100"/>
      <c r="AK180" s="98"/>
      <c r="AL180" s="98"/>
      <c r="AM180" s="98"/>
      <c r="AN180" s="98"/>
      <c r="AO180" s="98"/>
      <c r="AP180" s="98"/>
      <c r="AQ180" s="98"/>
      <c r="AR180" s="98"/>
      <c r="AS180" s="98"/>
      <c r="AT180" s="98"/>
      <c r="AU180" s="98"/>
      <c r="AV180" s="98"/>
      <c r="AW180" s="98"/>
    </row>
    <row r="182" spans="1:49" ht="23.25">
      <c r="A182" s="191" t="s">
        <v>169</v>
      </c>
      <c r="B182" s="192">
        <f>T4-AI4</f>
        <v>0</v>
      </c>
      <c r="T182" s="210" t="s">
        <v>233</v>
      </c>
    </row>
    <row r="184" spans="1:49" ht="23.25">
      <c r="A184" s="191" t="s">
        <v>211</v>
      </c>
    </row>
  </sheetData>
  <sheetProtection formatCells="0" formatColumns="0" formatRows="0"/>
  <mergeCells count="63">
    <mergeCell ref="AO1:AO3"/>
    <mergeCell ref="AU1:AU3"/>
    <mergeCell ref="AV1:AV3"/>
    <mergeCell ref="AW1:AW3"/>
    <mergeCell ref="AP1:AP3"/>
    <mergeCell ref="AQ1:AQ3"/>
    <mergeCell ref="AR1:AR3"/>
    <mergeCell ref="AS1:AS3"/>
    <mergeCell ref="AT1:AT3"/>
    <mergeCell ref="AI1:AI3"/>
    <mergeCell ref="AK1:AK3"/>
    <mergeCell ref="AL1:AL3"/>
    <mergeCell ref="AM1:AM3"/>
    <mergeCell ref="AN1:AN3"/>
    <mergeCell ref="AJ1:AJ3"/>
    <mergeCell ref="D117:D125"/>
    <mergeCell ref="D92:D102"/>
    <mergeCell ref="D128:D135"/>
    <mergeCell ref="N1:N3"/>
    <mergeCell ref="F1:F3"/>
    <mergeCell ref="D64:D86"/>
    <mergeCell ref="D87:D91"/>
    <mergeCell ref="E1:E3"/>
    <mergeCell ref="G1:G3"/>
    <mergeCell ref="A1:A3"/>
    <mergeCell ref="C1:D1"/>
    <mergeCell ref="D6:D8"/>
    <mergeCell ref="D10:D12"/>
    <mergeCell ref="D16:D32"/>
    <mergeCell ref="B2:B3"/>
    <mergeCell ref="C2:C3"/>
    <mergeCell ref="D2:D3"/>
    <mergeCell ref="D171:D178"/>
    <mergeCell ref="Q1:Q3"/>
    <mergeCell ref="R1:R3"/>
    <mergeCell ref="S1:S3"/>
    <mergeCell ref="H1:H3"/>
    <mergeCell ref="I1:I3"/>
    <mergeCell ref="J1:J3"/>
    <mergeCell ref="K1:K3"/>
    <mergeCell ref="L1:L3"/>
    <mergeCell ref="P1:P3"/>
    <mergeCell ref="M1:M3"/>
    <mergeCell ref="O1:O3"/>
    <mergeCell ref="D33:D63"/>
    <mergeCell ref="D158:D170"/>
    <mergeCell ref="D104:D108"/>
    <mergeCell ref="D109:D115"/>
    <mergeCell ref="T1:T3"/>
    <mergeCell ref="V1:V3"/>
    <mergeCell ref="W1:W3"/>
    <mergeCell ref="X1:X3"/>
    <mergeCell ref="Y1:Y3"/>
    <mergeCell ref="U1:U3"/>
    <mergeCell ref="AE1:AE3"/>
    <mergeCell ref="AF1:AF3"/>
    <mergeCell ref="AG1:AG3"/>
    <mergeCell ref="AH1:AH3"/>
    <mergeCell ref="Z1:Z3"/>
    <mergeCell ref="AA1:AA3"/>
    <mergeCell ref="AB1:AB3"/>
    <mergeCell ref="AC1:AC3"/>
    <mergeCell ref="AD1:AD3"/>
  </mergeCells>
  <pageMargins left="0.70866141732283472" right="0.70866141732283472" top="0.74803149606299213" bottom="0.74803149606299213" header="0.31496062992125984" footer="0.31496062992125984"/>
  <pageSetup paperSize="9" scale="26" fitToHeight="2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7"/>
  <sheetViews>
    <sheetView view="pageBreakPreview" zoomScale="60" zoomScaleNormal="100" workbookViewId="0">
      <selection activeCell="M7" sqref="M7"/>
    </sheetView>
  </sheetViews>
  <sheetFormatPr defaultRowHeight="15"/>
  <cols>
    <col min="2" max="2" width="8.28515625" customWidth="1"/>
    <col min="3" max="3" width="19.5703125" customWidth="1"/>
    <col min="5" max="5" width="19.28515625" customWidth="1"/>
    <col min="6" max="6" width="7.140625" customWidth="1"/>
    <col min="7" max="7" width="15.28515625" customWidth="1"/>
    <col min="8" max="8" width="24.28515625" customWidth="1"/>
    <col min="11" max="11" width="22.85546875" customWidth="1"/>
    <col min="12" max="12" width="17" customWidth="1"/>
    <col min="13" max="13" width="14.42578125" customWidth="1"/>
  </cols>
  <sheetData>
    <row r="1" spans="2:12">
      <c r="L1" t="s">
        <v>238</v>
      </c>
    </row>
    <row r="2" spans="2:12">
      <c r="B2" s="196">
        <v>211</v>
      </c>
      <c r="C2" s="196">
        <f>'2'!J47+'4'!AA8+'5'!AI6</f>
        <v>24679.852650000001</v>
      </c>
      <c r="D2" s="196">
        <v>211</v>
      </c>
      <c r="E2" s="196">
        <f>'2'!D47+'4'!E8+'5'!E6</f>
        <v>24679.866259999999</v>
      </c>
      <c r="G2" s="196">
        <v>211</v>
      </c>
      <c r="H2" s="196">
        <f>'4'!E8+'4'!E112+'5'!E6</f>
        <v>24543.183140000001</v>
      </c>
      <c r="J2" s="196">
        <v>211</v>
      </c>
      <c r="K2" s="196">
        <f>'2'!G47+'4'!E8+'5'!T6</f>
        <v>24679.852650000001</v>
      </c>
      <c r="L2" s="196">
        <f>K2-'5'!AK6</f>
        <v>24209.985250000002</v>
      </c>
    </row>
    <row r="3" spans="2:12">
      <c r="B3" s="196" t="s">
        <v>189</v>
      </c>
      <c r="C3" s="196">
        <f>'4'!AA112</f>
        <v>81.351070000000007</v>
      </c>
      <c r="D3" s="196" t="s">
        <v>189</v>
      </c>
      <c r="E3" s="200">
        <f>'4'!E112</f>
        <v>81.351070000000007</v>
      </c>
      <c r="G3" s="196">
        <v>213</v>
      </c>
      <c r="H3" s="196">
        <f>'4'!E12+'5'!E10</f>
        <v>7457.2911100000001</v>
      </c>
      <c r="J3" s="196" t="s">
        <v>189</v>
      </c>
      <c r="K3" s="196">
        <f>'4'!AA112</f>
        <v>81.351070000000007</v>
      </c>
      <c r="L3" s="196">
        <f>K3</f>
        <v>81.351070000000007</v>
      </c>
    </row>
    <row r="4" spans="2:12">
      <c r="B4" s="196" t="s">
        <v>190</v>
      </c>
      <c r="C4" s="196">
        <f>'4'!AA113</f>
        <v>0.6</v>
      </c>
      <c r="D4" s="196" t="s">
        <v>190</v>
      </c>
      <c r="E4" s="200">
        <f>'4'!E113</f>
        <v>0.6</v>
      </c>
      <c r="G4" s="196">
        <v>310</v>
      </c>
      <c r="H4" s="196">
        <f>'4'!E139+'5'!E137</f>
        <v>1048.9914799999999</v>
      </c>
      <c r="J4" s="196" t="s">
        <v>190</v>
      </c>
      <c r="K4" s="196">
        <f>'4'!AA113</f>
        <v>0.6</v>
      </c>
      <c r="L4" s="196">
        <f>K4</f>
        <v>0.6</v>
      </c>
    </row>
    <row r="5" spans="2:12">
      <c r="B5" s="196">
        <v>213</v>
      </c>
      <c r="C5" s="196">
        <f>'2'!J51+'4'!AA12+'5'!AI10</f>
        <v>7522.6848900000005</v>
      </c>
      <c r="D5" s="196">
        <v>213</v>
      </c>
      <c r="E5" s="200">
        <f>'2'!D51+'4'!E12+'5'!E10</f>
        <v>7522.7241700000004</v>
      </c>
      <c r="J5" s="196">
        <v>213</v>
      </c>
      <c r="K5" s="196">
        <f>'2'!J51+'4'!AA12+'5'!AI10</f>
        <v>7522.6848900000005</v>
      </c>
      <c r="L5" s="196">
        <f>K5-'5'!AK10</f>
        <v>7378.5573800000002</v>
      </c>
    </row>
    <row r="6" spans="2:12">
      <c r="B6" s="196">
        <v>212</v>
      </c>
      <c r="C6" s="196">
        <f>'2'!J50</f>
        <v>11.600000000000001</v>
      </c>
      <c r="D6" s="196">
        <v>212</v>
      </c>
      <c r="E6" s="200">
        <f>'2'!D50</f>
        <v>11.6</v>
      </c>
      <c r="J6" s="196">
        <v>212</v>
      </c>
      <c r="K6" s="196">
        <f>'2'!J50</f>
        <v>11.600000000000001</v>
      </c>
      <c r="L6" s="196">
        <v>11.6</v>
      </c>
    </row>
    <row r="7" spans="2:12">
      <c r="B7" s="196">
        <v>221</v>
      </c>
      <c r="C7" s="196">
        <f>'4'!AA16</f>
        <v>91.199999999999989</v>
      </c>
      <c r="D7" s="196">
        <v>221</v>
      </c>
      <c r="E7" s="200">
        <f>'2'!D55+'4'!E16+'5'!E14</f>
        <v>91.2</v>
      </c>
      <c r="J7" s="196">
        <v>221</v>
      </c>
      <c r="K7" s="196">
        <f>'2'!J55+'4'!AA16</f>
        <v>91.199999999999989</v>
      </c>
      <c r="L7" s="196">
        <v>91.2</v>
      </c>
    </row>
    <row r="8" spans="2:12">
      <c r="B8" s="196">
        <v>223</v>
      </c>
      <c r="C8" s="196">
        <f>'2'!J57+'4'!AA18</f>
        <v>1230.79402</v>
      </c>
      <c r="D8" s="196">
        <v>223</v>
      </c>
      <c r="E8" s="200">
        <f>'2'!D57+'4'!E18+'5'!E16</f>
        <v>1446.67714</v>
      </c>
      <c r="J8" s="196">
        <v>223</v>
      </c>
      <c r="K8" s="196">
        <f>'2'!J57+'4'!AA18+'5'!AI16</f>
        <v>1446.67714</v>
      </c>
      <c r="L8" s="196">
        <f>K8-'5'!AK16</f>
        <v>1230.79402</v>
      </c>
    </row>
    <row r="9" spans="2:12">
      <c r="B9" s="196">
        <v>225</v>
      </c>
      <c r="C9" s="196">
        <f>'2'!J74+'4'!AA35+'5'!AI33</f>
        <v>6223.4507199999998</v>
      </c>
      <c r="D9" s="196">
        <v>225</v>
      </c>
      <c r="E9" s="200">
        <f>'2'!D74+'4'!E35+'5'!E33</f>
        <v>6403.1841299999996</v>
      </c>
      <c r="J9" s="196">
        <v>225</v>
      </c>
      <c r="K9" s="196">
        <f>'2'!J74+'4'!AA35+'5'!AI33</f>
        <v>6223.4507199999998</v>
      </c>
      <c r="L9" s="196">
        <f>K9-'5'!AK33</f>
        <v>5091.3180499999999</v>
      </c>
    </row>
    <row r="10" spans="2:12">
      <c r="B10" s="196">
        <v>226</v>
      </c>
      <c r="C10" s="196">
        <f>'2'!J105+'4'!AA66+'5'!AI64</f>
        <v>3324.5798199999999</v>
      </c>
      <c r="D10" s="196">
        <v>226</v>
      </c>
      <c r="E10" s="200">
        <f>'2'!D105+'4'!E66+'5'!E64</f>
        <v>3324.5798199999999</v>
      </c>
      <c r="J10" s="196">
        <v>226</v>
      </c>
      <c r="K10" s="196">
        <f>'2'!J105+'4'!AA66+'5'!AI64</f>
        <v>3324.5798199999999</v>
      </c>
      <c r="L10" s="196">
        <f>K10-'5'!AK64</f>
        <v>2527.02934</v>
      </c>
    </row>
    <row r="11" spans="2:12">
      <c r="B11" s="196">
        <v>227</v>
      </c>
      <c r="C11" s="196">
        <f>'2'!J128+'4'!AA89</f>
        <v>24.598520000000001</v>
      </c>
      <c r="D11" s="196">
        <v>227</v>
      </c>
      <c r="E11" s="200">
        <f>'2'!D128+'4'!E89+'5'!E87</f>
        <v>24.598520000000001</v>
      </c>
      <c r="J11" s="196">
        <v>227</v>
      </c>
      <c r="K11" s="196">
        <f>'2'!J128+'4'!AA89+'5'!AI87</f>
        <v>24.598520000000001</v>
      </c>
      <c r="L11" s="196">
        <f>K11</f>
        <v>24.598520000000001</v>
      </c>
    </row>
    <row r="12" spans="2:12">
      <c r="B12" s="196">
        <v>310</v>
      </c>
      <c r="C12" s="196">
        <f>'2'!J178+'4'!AA139+'5'!AI137</f>
        <v>1141.73198</v>
      </c>
      <c r="D12" s="196">
        <v>310</v>
      </c>
      <c r="E12" s="200">
        <f>'2'!D178+'4'!E139+'5'!E137</f>
        <v>1141.73198</v>
      </c>
      <c r="J12" s="196">
        <v>310</v>
      </c>
      <c r="K12" s="196">
        <f>'2'!J178+'4'!AA139+'5'!AI137</f>
        <v>1141.73198</v>
      </c>
      <c r="L12" s="196">
        <f>K12-'5'!AK137</f>
        <v>92.740499999999884</v>
      </c>
    </row>
    <row r="13" spans="2:12">
      <c r="B13" s="196">
        <v>341</v>
      </c>
      <c r="C13" s="196">
        <f>'2'!J194+'4'!AA155</f>
        <v>5.3</v>
      </c>
      <c r="D13" s="196">
        <v>341</v>
      </c>
      <c r="E13" s="200">
        <f>'2'!D194+'4'!E155+'5'!E153</f>
        <v>91.862830000000002</v>
      </c>
      <c r="J13" s="196">
        <v>341</v>
      </c>
      <c r="K13" s="196">
        <f>'2'!J194+'4'!AA155+'5'!AI153</f>
        <v>91.862830000000002</v>
      </c>
      <c r="L13" s="196">
        <f>K13-'5'!AK153</f>
        <v>5.2999999999999972</v>
      </c>
    </row>
    <row r="14" spans="2:12">
      <c r="B14" s="196">
        <v>342</v>
      </c>
      <c r="C14" s="196">
        <f>'2'!J195+'4'!AA156</f>
        <v>1093.75901</v>
      </c>
      <c r="D14" s="196">
        <v>342</v>
      </c>
      <c r="E14" s="200">
        <f>'2'!D195+'4'!E156+'5'!E154</f>
        <v>1302.6058499999999</v>
      </c>
      <c r="J14" s="196">
        <v>342</v>
      </c>
      <c r="K14" s="196">
        <f>'2'!J195+'4'!AA156+'5'!AI154</f>
        <v>1302.6058499999999</v>
      </c>
      <c r="L14" s="196">
        <f>K14-'5'!AK154</f>
        <v>1093.75901</v>
      </c>
    </row>
    <row r="15" spans="2:12">
      <c r="B15" s="196">
        <v>343</v>
      </c>
      <c r="C15" s="196">
        <f>'2'!J196+'4'!AA157</f>
        <v>273.565</v>
      </c>
      <c r="D15" s="196">
        <v>343</v>
      </c>
      <c r="E15" s="200">
        <f>'2'!D196+'4'!E157+'5'!E155</f>
        <v>274.565</v>
      </c>
      <c r="J15" s="196">
        <v>343</v>
      </c>
      <c r="K15" s="196">
        <f>'2'!J196+'4'!AA157+'5'!AI155</f>
        <v>274.565</v>
      </c>
      <c r="L15" s="196">
        <f>K15-'5'!AK155</f>
        <v>273.565</v>
      </c>
    </row>
    <row r="16" spans="2:12">
      <c r="B16" s="196">
        <v>344</v>
      </c>
      <c r="C16" s="196">
        <f>'2'!J197+'4'!AA158</f>
        <v>151.75300000000001</v>
      </c>
      <c r="D16" s="196">
        <v>344</v>
      </c>
      <c r="E16" s="200">
        <f>'2'!D197+'4'!E158+'5'!E156</f>
        <v>196.87009999999998</v>
      </c>
      <c r="J16" s="196">
        <v>344</v>
      </c>
      <c r="K16" s="196">
        <f>'2'!J197+'4'!AA158+'5'!AI156</f>
        <v>196.87010000000001</v>
      </c>
      <c r="L16" s="196">
        <f>K16-'5'!AK156</f>
        <v>151.75300000000001</v>
      </c>
    </row>
    <row r="17" spans="2:13">
      <c r="B17" s="196">
        <v>345</v>
      </c>
      <c r="C17" s="196">
        <f>'2'!J198+'4'!AA159</f>
        <v>78.510000000000005</v>
      </c>
      <c r="D17" s="196">
        <v>345</v>
      </c>
      <c r="E17" s="200">
        <f>'2'!D198+'4'!E159+'5'!E157</f>
        <v>249.16499999999999</v>
      </c>
      <c r="J17" s="196">
        <v>345</v>
      </c>
      <c r="K17" s="196">
        <f>'2'!J198+'4'!AA159+'5'!AI157</f>
        <v>249.16500000000002</v>
      </c>
      <c r="L17" s="196">
        <f>K17-'5'!AK157</f>
        <v>78.510000000000019</v>
      </c>
    </row>
    <row r="18" spans="2:13">
      <c r="B18" s="196">
        <v>346</v>
      </c>
      <c r="C18" s="196">
        <f>'2'!J199+'4'!AA160</f>
        <v>381.72796000000005</v>
      </c>
      <c r="D18" s="196">
        <v>346</v>
      </c>
      <c r="E18" s="200">
        <f>'2'!D199+'4'!E160+'5'!E158</f>
        <v>993.55256000000008</v>
      </c>
      <c r="J18" s="196">
        <v>346</v>
      </c>
      <c r="K18" s="196">
        <f>'2'!J199+'4'!AA160+'5'!AI158</f>
        <v>993.55256000000008</v>
      </c>
      <c r="L18" s="196">
        <f>K18-'5'!AI158</f>
        <v>381.72796000000005</v>
      </c>
    </row>
    <row r="19" spans="2:13">
      <c r="B19" s="196">
        <v>349</v>
      </c>
      <c r="C19" s="196">
        <f>'2'!J212+'4'!AA173</f>
        <v>40.102000000000004</v>
      </c>
      <c r="D19" s="196">
        <v>349</v>
      </c>
      <c r="E19" s="200">
        <f>'2'!D212+'4'!E173+'5'!E171</f>
        <v>41.577000000000005</v>
      </c>
      <c r="J19" s="196">
        <v>349</v>
      </c>
      <c r="K19" s="196">
        <f>'2'!J212+'4'!AA173+'5'!AI171</f>
        <v>41.577000000000005</v>
      </c>
      <c r="L19" s="196">
        <f>K19-'5'!AK171</f>
        <v>40.102000000000004</v>
      </c>
    </row>
    <row r="20" spans="2:13">
      <c r="B20" s="196" t="s">
        <v>191</v>
      </c>
      <c r="C20" s="196">
        <f>'2'!J167</f>
        <v>9.8261200000000013</v>
      </c>
      <c r="D20" s="196" t="s">
        <v>191</v>
      </c>
      <c r="E20" s="200">
        <f>'2'!D167</f>
        <v>9.8261199999999995</v>
      </c>
      <c r="J20" s="196" t="s">
        <v>236</v>
      </c>
      <c r="K20" s="196">
        <v>9.8261199999999995</v>
      </c>
      <c r="L20" s="196">
        <f>K20</f>
        <v>9.8261199999999995</v>
      </c>
    </row>
    <row r="21" spans="2:13">
      <c r="B21" s="196" t="s">
        <v>192</v>
      </c>
      <c r="C21" s="196">
        <f>'2'!J158+'4'!AA121</f>
        <v>27.578410000000002</v>
      </c>
      <c r="D21" s="196" t="s">
        <v>192</v>
      </c>
      <c r="E21" s="200">
        <f>'2'!D158+'4'!E121</f>
        <v>27.578409999999998</v>
      </c>
      <c r="J21" s="196" t="s">
        <v>192</v>
      </c>
      <c r="K21" s="196">
        <v>27.578410000000002</v>
      </c>
      <c r="L21" s="196">
        <f>K21</f>
        <v>27.578410000000002</v>
      </c>
    </row>
    <row r="22" spans="2:13">
      <c r="B22" s="196" t="s">
        <v>193</v>
      </c>
      <c r="C22" s="196">
        <f>'4'!AA122+'4'!AA123</f>
        <v>1438.7339999999999</v>
      </c>
      <c r="D22" s="196" t="s">
        <v>193</v>
      </c>
      <c r="E22" s="200">
        <f>'4'!E122+'4'!E123</f>
        <v>1438.7339999999999</v>
      </c>
      <c r="J22" s="196" t="s">
        <v>193</v>
      </c>
      <c r="K22" s="196">
        <v>1438.7339999999999</v>
      </c>
      <c r="L22" s="196">
        <f>K22</f>
        <v>1438.7339999999999</v>
      </c>
    </row>
    <row r="23" spans="2:13">
      <c r="B23" s="196" t="s">
        <v>194</v>
      </c>
      <c r="C23" s="196">
        <f>'2'!J173</f>
        <v>18.00967</v>
      </c>
      <c r="D23" s="196" t="s">
        <v>194</v>
      </c>
      <c r="E23" s="200">
        <f>'2'!D173</f>
        <v>18.00967</v>
      </c>
      <c r="H23">
        <f>'2'!D45+'4'!E6+'5'!E4</f>
        <v>49377.459629999998</v>
      </c>
      <c r="J23" s="196" t="s">
        <v>194</v>
      </c>
      <c r="K23" s="196">
        <v>18.00967</v>
      </c>
      <c r="L23" s="196">
        <f>K23</f>
        <v>18.00967</v>
      </c>
      <c r="M23">
        <f>'2'!J45+'4'!AA6+'5'!AI4</f>
        <v>49197.673330000005</v>
      </c>
    </row>
    <row r="24" spans="2:13">
      <c r="B24" s="212"/>
      <c r="C24" s="212"/>
      <c r="D24" s="212"/>
      <c r="E24" s="213"/>
      <c r="J24" s="214" t="s">
        <v>237</v>
      </c>
      <c r="K24" s="214">
        <v>5</v>
      </c>
      <c r="L24" s="196">
        <f>K24</f>
        <v>5</v>
      </c>
    </row>
    <row r="25" spans="2:13">
      <c r="C25">
        <f>SUM(C2:C23)</f>
        <v>47851.308839999991</v>
      </c>
      <c r="E25" s="201">
        <f>SUM(E2:E23)</f>
        <v>49372.45962999999</v>
      </c>
      <c r="H25">
        <f>'2'!D45+'4'!E6+'5'!E4</f>
        <v>49377.459629999998</v>
      </c>
      <c r="K25">
        <f>SUM(K2:K24)</f>
        <v>49197.673329999998</v>
      </c>
    </row>
    <row r="27" spans="2:13">
      <c r="H27">
        <f>H25-E25</f>
        <v>5.000000000007276</v>
      </c>
    </row>
  </sheetData>
  <pageMargins left="0.7" right="0.7" top="0.75" bottom="0.75" header="0.3" footer="0.3"/>
  <pageSetup paperSize="9" scale="78" orientation="portrait" verticalDpi="0" r:id="rId1"/>
  <colBreaks count="1" manualBreakCount="1">
    <brk id="6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2</vt:lpstr>
      <vt:lpstr>4</vt:lpstr>
      <vt:lpstr>5</vt:lpstr>
      <vt:lpstr>Лист1</vt:lpstr>
      <vt:lpstr>'4'!Область_печати</vt:lpstr>
      <vt:lpstr>'5'!Область_печати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2021-02-02T06:46:02Z</dcterms:modified>
</cp:coreProperties>
</file>